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iVAbr5cix1Pdqm7neVLgSax48SZm4WomFm2eUqX7hGTCN459JRppBzngwOoWo0PLs+9bUCsou3xPVd9u2xLd/w==" workbookSaltValue="NVpX0j0nW5AHgjxCRupd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AN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U9" i="17"/>
  <c r="U19" i="17" s="1"/>
  <c r="L9" i="2"/>
  <c r="BF15" i="13"/>
  <c r="BF16" i="13"/>
  <c r="W20" i="20"/>
  <c r="M20" i="20"/>
  <c r="AV20" i="20"/>
  <c r="AP20" i="20"/>
  <c r="AA20" i="20"/>
  <c r="C18" i="7" l="1"/>
  <c r="T19" i="8"/>
  <c r="H13" i="12"/>
  <c r="BD15" i="13"/>
  <c r="BA18" i="13"/>
  <c r="V9" i="16"/>
  <c r="V10" i="16"/>
  <c r="L16" i="2"/>
  <c r="L10" i="2"/>
  <c r="BL16" i="11"/>
  <c r="BJ16" i="11"/>
  <c r="AQ12" i="21"/>
  <c r="BH16" i="11"/>
  <c r="BF15" i="11"/>
  <c r="BM17" i="11"/>
  <c r="Q15" i="17"/>
  <c r="Q18" i="17" s="1"/>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E12" i="6"/>
  <c r="AO12" i="11"/>
  <c r="BK9" i="11"/>
  <c r="BK13" i="11" s="1"/>
  <c r="BF10" i="11"/>
  <c r="BK12" i="11"/>
  <c r="BL17" i="11"/>
  <c r="P17" i="17"/>
  <c r="P18" i="17" s="1"/>
  <c r="P19" i="17" s="1"/>
  <c r="BM16" i="11"/>
  <c r="BG10" i="11"/>
  <c r="BH17" i="16"/>
  <c r="BL9" i="11"/>
  <c r="BH11" i="16"/>
  <c r="BF11" i="11"/>
  <c r="T9" i="11"/>
  <c r="R17" i="14"/>
  <c r="S10" i="14"/>
  <c r="V10" i="14" s="1"/>
  <c r="S17" i="14"/>
  <c r="V17" i="14" s="1"/>
  <c r="BE9" i="8"/>
  <c r="I9" i="7" s="1"/>
  <c r="BG12" i="8"/>
  <c r="K12" i="7" s="1"/>
  <c r="R10" i="14"/>
  <c r="R12" i="14"/>
  <c r="R16" i="14"/>
  <c r="AO9" i="11"/>
  <c r="AM11" i="11"/>
  <c r="AM12" i="11"/>
  <c r="BB13" i="13"/>
  <c r="F15" i="16"/>
  <c r="BE15" i="13"/>
  <c r="BG15" i="8"/>
  <c r="AO17" i="11"/>
  <c r="BE12" i="21"/>
  <c r="BE13" i="21" s="1"/>
  <c r="BE19" i="21"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J20" i="20"/>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Z20" i="20"/>
  <c r="G13" i="14"/>
  <c r="AQ20" i="21"/>
  <c r="X20" i="20"/>
  <c r="H20" i="20"/>
  <c r="J12" i="12" l="1"/>
  <c r="K15" i="12"/>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K20" i="21"/>
  <c r="AL20" i="16"/>
  <c r="AA20" i="21"/>
  <c r="AR20" i="17"/>
  <c r="AO20" i="11"/>
  <c r="D20" i="12"/>
  <c r="AE20" i="17"/>
  <c r="T20" i="11"/>
  <c r="M20" i="21"/>
  <c r="AS20" i="11"/>
  <c r="S20" i="17"/>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R20" i="20"/>
  <c r="AM20" i="16"/>
  <c r="I20" i="12"/>
  <c r="AY20" i="16"/>
  <c r="AM20" i="17"/>
  <c r="U20" i="20"/>
  <c r="AO20" i="17"/>
  <c r="AW20" i="21"/>
  <c r="U20" i="11"/>
  <c r="I20" i="16"/>
  <c r="AY20" i="21"/>
  <c r="I20" i="21"/>
  <c r="AU20" i="16"/>
  <c r="BH20" i="16"/>
  <c r="BK20" i="16"/>
  <c r="AQ20" i="16"/>
  <c r="AF20" i="21"/>
  <c r="AC20" i="16"/>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<sst xmlns="http://schemas.openxmlformats.org/spreadsheetml/2006/main" count="2102" uniqueCount="916">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</sst>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Cpbw8DoKxQkTJKMw52/4TmtBBSviyfgTS+WjgMoSX0Spq6UzcFHJ5nn4v5dXuvKKUwyvelO5OPLe+lZ1wuGQ==" saltValue="23trNO/pKHOAt8bGetIl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3</v>
      </c>
      <c r="F10" s="226">
        <f>IF(ISNUMBER(Datos!K10),Datos!K10," - ")</f>
        <v>5</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8.8000000000000007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43.156691324815064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3</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2382</v>
      </c>
      <c r="D16" s="225">
        <f>IF(ISNUMBER(IF(D_I="SI",Datos!I16,Datos!I16+Datos!AC16)),IF(D_I="SI",Datos!I16,Datos!I16+Datos!AC16)," - ")</f>
        <v>2382</v>
      </c>
      <c r="E16" s="226">
        <f>IF(ISNUMBER(IF(D_I="SI",Datos!J16,Datos!J16+Datos!AD16)),IF(D_I="SI",Datos!J16,Datos!J16+Datos!AD16)," - ")</f>
        <v>1947</v>
      </c>
      <c r="F16" s="226">
        <f>IF(ISNUMBER(IF(D_I="SI",Datos!K16,Datos!K16+Datos!AE16)),IF(D_I="SI",Datos!K16,Datos!K16+Datos!AE16)," - ")</f>
        <v>1826</v>
      </c>
      <c r="G16" s="1034" t="str">
        <f>IF(Datos!E16&lt;&gt;"",Datos!E16,Datos!D16)</f>
        <v>04</v>
      </c>
      <c r="H16" s="227">
        <f>IF(ISNUMBER(IF(D_I="SI",Datos!L16,Datos!L16+Datos!AF16)),IF(D_I="SI",Datos!L16,Datos!L16+Datos!AF16)," - ")</f>
        <v>2503</v>
      </c>
      <c r="I16" s="1044" t="str">
        <f>IF(ISNUMBER(Datos!AS16/Datos!BM16),Datos!AS16/Datos!BM16," - ")</f>
        <v xml:space="preserve"> - </v>
      </c>
      <c r="J16" s="1045">
        <f>IF(ISNUMBER(Datos!BY16/Datos!CN16),Datos!BY16/Datos!CN16," - ")</f>
        <v>0</v>
      </c>
      <c r="K16" s="230">
        <f t="shared" si="3"/>
        <v>5.0797649034424852E-2</v>
      </c>
      <c r="L16" s="1025">
        <f>IF(ISNUMBER(NºAsuntos!I16/NºAsuntos!G16),(NºAsuntos!I16/NºAsuntos!G16)*11," - ")</f>
        <v>15.078313253012048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95</v>
      </c>
      <c r="D17" s="225">
        <f>IF(ISNUMBER(IF(D_I="SI",Datos!I17,Datos!I17+Datos!AC17)),IF(D_I="SI",Datos!I17,Datos!I17+Datos!AC17)," - ")</f>
        <v>95</v>
      </c>
      <c r="E17" s="226">
        <f>IF(ISNUMBER(IF(D_I="SI",Datos!J17,Datos!J17+Datos!AD17)),IF(D_I="SI",Datos!J17,Datos!J17+Datos!AD17)," - ")</f>
        <v>177</v>
      </c>
      <c r="F17" s="226">
        <f>IF(ISNUMBER(IF(D_I="SI",Datos!K17,Datos!K17+Datos!AE17)),IF(D_I="SI",Datos!K17,Datos!K17+Datos!AE17)," - ")</f>
        <v>175</v>
      </c>
      <c r="G17" s="1034" t="str">
        <f>IF(Datos!E17&lt;&gt;"",Datos!E17,Datos!D17)</f>
        <v>37</v>
      </c>
      <c r="H17" s="227">
        <f>IF(ISNUMBER(IF(D_I="SI",Datos!L17,Datos!L17+Datos!AF17)),IF(D_I="SI",Datos!L17,Datos!L17+Datos!AF17)," - ")</f>
        <v>97</v>
      </c>
      <c r="I17" s="1044" t="str">
        <f>IF(ISNUMBER(Datos!AS17/Datos!BM17),Datos!AS17/Datos!BM17," - ")</f>
        <v xml:space="preserve"> - </v>
      </c>
      <c r="J17" s="1045" t="str">
        <f>IF(ISNUMBER((Datos!BY17+Datos!BZ17)/Datos!CN17),(Datos!BY17+Datos!BZ17)/Datos!CN17," - ")</f>
        <v xml:space="preserve"> - </v>
      </c>
      <c r="K17" s="230">
        <f t="shared" si="3"/>
        <v>2.1052631578947368E-2</v>
      </c>
      <c r="L17" s="1025">
        <f>IF(ISNUMBER(NºAsuntos!I17/NºAsuntos!G17),(NºAsuntos!I17/NºAsuntos!G17)*11," - ")</f>
        <v>6.097142857142857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2477</v>
      </c>
      <c r="D18" s="1049">
        <f>SUBTOTAL(9,D15:D17)</f>
        <v>2477</v>
      </c>
      <c r="E18" s="1050">
        <f>SUBTOTAL(9,E15:E17)</f>
        <v>2124</v>
      </c>
      <c r="F18" s="1050">
        <f>SUBTOTAL(9,F15:F17)</f>
        <v>2001</v>
      </c>
      <c r="G18" s="1052" t="str">
        <f ca="1">INDIRECT(CONCATENATE("G",ROW()-1))</f>
        <v>37</v>
      </c>
      <c r="H18" s="1053">
        <f ca="1">SUMIF(G$14:G17,G18,H$14:H17)</f>
        <v>97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2483</v>
      </c>
      <c r="D19" s="1071">
        <f>SUBTOTAL(9,D9:D18)</f>
        <v>2483</v>
      </c>
      <c r="E19" s="1072">
        <f>SUBTOTAL(9,E9:E18)</f>
        <v>2127</v>
      </c>
      <c r="F19" s="1072">
        <f>SUBTOTAL(9,F9:F18)</f>
        <v>2006</v>
      </c>
      <c r="G19" s="1073"/>
      <c r="H19" s="1074">
        <f ca="1">SUMIF(B9:B18,"TOTAL",H9:H18)</f>
        <v>97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4bKcQ9r5BHrCEXLBKf7cbKtyP+w/WkJ87bFr0i7ft43ZbVS1okMh9Ioa8dmZVjUdU8VYaZZ4etahvZuEDHyfbA==" saltValue="LZULw/1Sw07lzvd+43YzW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io0txVVZwvdQd1bFDHwZ2JJ+ECdGlGls+SyS0Q+MPtV6k2of6469IfsAR/LAxwdmCvr8cTVqsCpJI4xIVYxPA==" saltValue="Xara4enSXfTYIvy+h5ah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3</v>
      </c>
      <c r="K10" s="181">
        <v>5</v>
      </c>
      <c r="L10" s="181">
        <v>4</v>
      </c>
      <c r="M10" s="181">
        <v>4</v>
      </c>
      <c r="N10" s="181">
        <v>1</v>
      </c>
      <c r="O10" s="181">
        <v>0</v>
      </c>
      <c r="P10" s="181">
        <v>0</v>
      </c>
      <c r="Q10" s="181">
        <v>0</v>
      </c>
      <c r="R10" s="181">
        <v>0</v>
      </c>
      <c r="S10" s="181">
        <v>9</v>
      </c>
      <c r="T10" s="181">
        <v>5</v>
      </c>
      <c r="U10" s="181">
        <v>5</v>
      </c>
      <c r="V10" s="181">
        <v>9</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5</v>
      </c>
      <c r="BA10" s="129">
        <f t="shared" si="0"/>
        <v>5</v>
      </c>
      <c r="BB10" s="129">
        <f t="shared" si="0"/>
        <v>9</v>
      </c>
      <c r="BC10" s="125">
        <f t="shared" si="0"/>
        <v>5</v>
      </c>
      <c r="BD10" s="126">
        <f>IF(ISNUMBER(BA10/AZ10),BA10/AZ10," - ")</f>
        <v>1</v>
      </c>
      <c r="BE10" s="127">
        <f>IF(ISNUMBER(BB10/BA10),BB10/BA10, " - ")</f>
        <v>1.8</v>
      </c>
      <c r="BF10" s="127">
        <f>IF(ISNUMBER(BC10/BA10),BC10/BA10, " - ")</f>
        <v>1</v>
      </c>
      <c r="BG10" s="196">
        <f>IF(ISNUMBER((AY10+AZ10)/BA10),(AY10+AZ10)/BA10," - ")</f>
        <v>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5787</v>
      </c>
      <c r="J12" s="183">
        <v>1242</v>
      </c>
      <c r="K12" s="183">
        <v>1278</v>
      </c>
      <c r="L12" s="183">
        <v>5751</v>
      </c>
      <c r="M12" s="183">
        <v>381</v>
      </c>
      <c r="N12" s="183">
        <v>575</v>
      </c>
      <c r="O12" s="181">
        <v>368</v>
      </c>
      <c r="P12" s="183">
        <v>218</v>
      </c>
      <c r="Q12" s="183">
        <v>355</v>
      </c>
      <c r="R12" s="183">
        <v>4026</v>
      </c>
      <c r="S12" s="183">
        <v>3506</v>
      </c>
      <c r="T12" s="183">
        <v>977</v>
      </c>
      <c r="U12" s="183">
        <v>874</v>
      </c>
      <c r="V12" s="183">
        <v>3609</v>
      </c>
      <c r="W12" s="183">
        <v>365</v>
      </c>
      <c r="X12" s="189">
        <v>292</v>
      </c>
      <c r="Y12" s="191">
        <v>84</v>
      </c>
      <c r="Z12" s="181">
        <v>208</v>
      </c>
      <c r="AA12" s="181">
        <v>209</v>
      </c>
      <c r="AB12" s="181">
        <v>83</v>
      </c>
      <c r="AC12" s="183">
        <v>0</v>
      </c>
      <c r="AD12" s="183">
        <v>0</v>
      </c>
      <c r="AE12" s="183">
        <v>0</v>
      </c>
      <c r="AF12" s="189">
        <v>0</v>
      </c>
      <c r="AG12" s="202">
        <v>89</v>
      </c>
      <c r="AH12" s="183">
        <v>92</v>
      </c>
      <c r="AI12" s="183">
        <v>101</v>
      </c>
      <c r="AJ12" s="203">
        <v>80</v>
      </c>
      <c r="AK12" s="182">
        <v>0</v>
      </c>
      <c r="AL12" s="183">
        <v>0</v>
      </c>
      <c r="AM12" s="183">
        <v>0</v>
      </c>
      <c r="AN12" s="189">
        <v>0</v>
      </c>
      <c r="AO12" s="259">
        <v>5</v>
      </c>
      <c r="AP12" s="155">
        <v>5</v>
      </c>
      <c r="AQ12" s="155">
        <v>5</v>
      </c>
      <c r="AR12" s="154">
        <v>5</v>
      </c>
      <c r="AS12" s="340" t="s">
        <v>794</v>
      </c>
      <c r="AT12" s="203"/>
      <c r="AU12" s="202"/>
      <c r="AV12" s="203"/>
      <c r="AW12" s="202"/>
      <c r="AX12" s="203"/>
      <c r="AY12" s="126">
        <f t="shared" si="1"/>
        <v>3595</v>
      </c>
      <c r="AZ12" s="127">
        <f t="shared" si="1"/>
        <v>1069</v>
      </c>
      <c r="BA12" s="127">
        <f t="shared" si="1"/>
        <v>975</v>
      </c>
      <c r="BB12" s="127">
        <f t="shared" si="1"/>
        <v>3689</v>
      </c>
      <c r="BC12" s="125">
        <f>IF(ISNUMBER(X12),X12," - ")</f>
        <v>292</v>
      </c>
      <c r="BD12" s="126">
        <f t="shared" si="2"/>
        <v>0.912067352666043</v>
      </c>
      <c r="BE12" s="127">
        <f t="shared" si="3"/>
        <v>3.7835897435897436</v>
      </c>
      <c r="BF12" s="127">
        <f t="shared" si="4"/>
        <v>0.29948717948717951</v>
      </c>
      <c r="BG12" s="196">
        <f t="shared" si="5"/>
        <v>4.7835897435897436</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5793</v>
      </c>
      <c r="J13" s="184">
        <f t="shared" si="6"/>
        <v>1245</v>
      </c>
      <c r="K13" s="184">
        <f t="shared" si="6"/>
        <v>1283</v>
      </c>
      <c r="L13" s="184">
        <f t="shared" si="6"/>
        <v>5755</v>
      </c>
      <c r="M13" s="184">
        <f t="shared" si="6"/>
        <v>385</v>
      </c>
      <c r="N13" s="184">
        <f t="shared" si="6"/>
        <v>576</v>
      </c>
      <c r="O13" s="184">
        <f t="shared" si="6"/>
        <v>368</v>
      </c>
      <c r="P13" s="184">
        <f t="shared" si="6"/>
        <v>218</v>
      </c>
      <c r="Q13" s="184">
        <f t="shared" si="6"/>
        <v>355</v>
      </c>
      <c r="R13" s="184">
        <f t="shared" si="6"/>
        <v>4026</v>
      </c>
      <c r="S13" s="184">
        <f t="shared" si="6"/>
        <v>3515</v>
      </c>
      <c r="T13" s="184">
        <f t="shared" si="6"/>
        <v>982</v>
      </c>
      <c r="U13" s="184">
        <f t="shared" si="6"/>
        <v>879</v>
      </c>
      <c r="V13" s="184">
        <f t="shared" si="6"/>
        <v>3618</v>
      </c>
      <c r="W13" s="184">
        <f t="shared" si="6"/>
        <v>370</v>
      </c>
      <c r="X13" s="184">
        <f t="shared" si="6"/>
        <v>292</v>
      </c>
      <c r="Y13" s="184">
        <f t="shared" si="6"/>
        <v>84</v>
      </c>
      <c r="Z13" s="184">
        <f t="shared" si="6"/>
        <v>208</v>
      </c>
      <c r="AA13" s="184">
        <f t="shared" si="6"/>
        <v>209</v>
      </c>
      <c r="AB13" s="184">
        <f t="shared" si="6"/>
        <v>83</v>
      </c>
      <c r="AC13" s="184">
        <f t="shared" si="6"/>
        <v>0</v>
      </c>
      <c r="AD13" s="184">
        <f t="shared" si="6"/>
        <v>0</v>
      </c>
      <c r="AE13" s="184">
        <f t="shared" si="6"/>
        <v>0</v>
      </c>
      <c r="AF13" s="184">
        <f>SUBTOTAL(9,AF9:AF12)</f>
        <v>0</v>
      </c>
      <c r="AG13" s="184">
        <f t="shared" ref="AG13:AT13" si="7">SUBTOTAL(9,AG8:AG12)</f>
        <v>89</v>
      </c>
      <c r="AH13" s="184">
        <f t="shared" si="7"/>
        <v>92</v>
      </c>
      <c r="AI13" s="184">
        <f t="shared" si="7"/>
        <v>101</v>
      </c>
      <c r="AJ13" s="184">
        <f t="shared" si="7"/>
        <v>80</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3604</v>
      </c>
      <c r="AZ13" s="184">
        <f>SUBTOTAL(9,AZ8:AZ12)</f>
        <v>1074</v>
      </c>
      <c r="BA13" s="184">
        <f>SUBTOTAL(9,BA8:BA12)</f>
        <v>980</v>
      </c>
      <c r="BB13" s="184">
        <f>SUBTOTAL(9,BB8:BB12)</f>
        <v>3698</v>
      </c>
      <c r="BC13" s="184">
        <f>SUBTOTAL(9,BC8:BC12)</f>
        <v>297</v>
      </c>
      <c r="BD13" s="205">
        <f>IF(ISNUMBER(BA13/AZ13),BA13/AZ13," - ")</f>
        <v>0.91247672253258849</v>
      </c>
      <c r="BE13" s="206">
        <f>IF(ISNUMBER(BB13/BA13),BB13/BA13, " - ")</f>
        <v>3.7734693877551022</v>
      </c>
      <c r="BF13" s="206">
        <f>IF(ISNUMBER(BC13/BA13),BC13/BA13, " - ")</f>
        <v>0.30306122448979594</v>
      </c>
      <c r="BG13" s="207">
        <f>IF(ISNUMBER((AY13+AZ13)/BA13),(AY13+AZ13)/BA13," - ")</f>
        <v>4.7734693877551022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2382</v>
      </c>
      <c r="J16" s="183">
        <v>1947</v>
      </c>
      <c r="K16" s="183">
        <v>1826</v>
      </c>
      <c r="L16" s="183">
        <v>2503</v>
      </c>
      <c r="M16" s="183">
        <v>183</v>
      </c>
      <c r="N16" s="183">
        <v>1361</v>
      </c>
      <c r="O16" s="181">
        <v>28</v>
      </c>
      <c r="P16" s="183">
        <v>17</v>
      </c>
      <c r="Q16" s="183">
        <v>33</v>
      </c>
      <c r="R16" s="183">
        <v>83</v>
      </c>
      <c r="S16" s="183">
        <v>2240</v>
      </c>
      <c r="T16" s="183">
        <v>2123</v>
      </c>
      <c r="U16" s="183">
        <v>1438</v>
      </c>
      <c r="V16" s="183">
        <v>2925</v>
      </c>
      <c r="W16" s="183">
        <v>158</v>
      </c>
      <c r="X16" s="189">
        <v>1001</v>
      </c>
      <c r="Y16" s="202">
        <v>0</v>
      </c>
      <c r="Z16" s="183">
        <v>0</v>
      </c>
      <c r="AA16" s="183">
        <v>0</v>
      </c>
      <c r="AB16" s="183">
        <v>0</v>
      </c>
      <c r="AC16" s="183">
        <v>0</v>
      </c>
      <c r="AD16" s="183">
        <v>2</v>
      </c>
      <c r="AE16" s="183">
        <v>2</v>
      </c>
      <c r="AF16" s="189">
        <v>0</v>
      </c>
      <c r="AG16" s="202">
        <v>0</v>
      </c>
      <c r="AH16" s="183">
        <v>0</v>
      </c>
      <c r="AI16" s="183">
        <v>0</v>
      </c>
      <c r="AJ16" s="203">
        <v>0</v>
      </c>
      <c r="AK16" s="182">
        <v>0</v>
      </c>
      <c r="AL16" s="183">
        <v>1</v>
      </c>
      <c r="AM16" s="183">
        <v>0</v>
      </c>
      <c r="AN16" s="189">
        <v>1</v>
      </c>
      <c r="AO16" s="259">
        <v>5</v>
      </c>
      <c r="AP16" s="155">
        <v>5</v>
      </c>
      <c r="AQ16" s="155">
        <v>5</v>
      </c>
      <c r="AR16" s="155">
        <v>5</v>
      </c>
      <c r="AS16" s="340" t="s">
        <v>487</v>
      </c>
      <c r="AT16" s="203"/>
      <c r="AU16" s="202"/>
      <c r="AV16" s="203"/>
      <c r="AW16" s="202"/>
      <c r="AX16" s="203"/>
      <c r="AY16" s="126">
        <f t="shared" si="9"/>
        <v>2240</v>
      </c>
      <c r="AZ16" s="127">
        <f t="shared" si="9"/>
        <v>2123</v>
      </c>
      <c r="BA16" s="127">
        <f t="shared" si="9"/>
        <v>1438</v>
      </c>
      <c r="BB16" s="127">
        <f t="shared" si="9"/>
        <v>2925</v>
      </c>
      <c r="BC16" s="125">
        <f>IF(ISNUMBER(W16),W16," - ")</f>
        <v>158</v>
      </c>
      <c r="BD16" s="126">
        <f t="shared" ref="BD16" si="11">IF(ISNUMBER(BA16/AZ16),BA16/AZ16," - ")</f>
        <v>0.6773433820065945</v>
      </c>
      <c r="BE16" s="127">
        <f t="shared" ref="BE16" si="12">IF(ISNUMBER(BB16/BA16),BB16/BA16, " - ")</f>
        <v>2.0340751043115439</v>
      </c>
      <c r="BF16" s="127">
        <f t="shared" ref="BF16" si="13">IF(ISNUMBER(BC16/BA16),BC16/BA16, " - ")</f>
        <v>0.10987482614742698</v>
      </c>
      <c r="BG16" s="196">
        <f t="shared" si="10"/>
        <v>3.0340751043115439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95</v>
      </c>
      <c r="J17" s="183">
        <v>177</v>
      </c>
      <c r="K17" s="183">
        <v>175</v>
      </c>
      <c r="L17" s="183">
        <v>97</v>
      </c>
      <c r="M17" s="183">
        <v>22</v>
      </c>
      <c r="N17" s="183">
        <v>128</v>
      </c>
      <c r="O17" s="183">
        <v>1</v>
      </c>
      <c r="P17" s="183">
        <v>3</v>
      </c>
      <c r="Q17" s="183">
        <v>1</v>
      </c>
      <c r="R17" s="183">
        <v>12</v>
      </c>
      <c r="S17" s="183">
        <v>61</v>
      </c>
      <c r="T17" s="183">
        <v>102</v>
      </c>
      <c r="U17" s="183">
        <v>83</v>
      </c>
      <c r="V17" s="183">
        <v>80</v>
      </c>
      <c r="W17" s="183">
        <v>33</v>
      </c>
      <c r="X17" s="189">
        <v>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61</v>
      </c>
      <c r="AZ17" s="129">
        <f t="shared" si="14"/>
        <v>102</v>
      </c>
      <c r="BA17" s="129">
        <f t="shared" si="14"/>
        <v>83</v>
      </c>
      <c r="BB17" s="129">
        <f t="shared" si="14"/>
        <v>80</v>
      </c>
      <c r="BC17" s="125">
        <f>IF(ISNUMBER(W17),W17," - ")</f>
        <v>33</v>
      </c>
      <c r="BD17" s="126">
        <f>IF(ISNUMBER(BA17/AZ17),BA17/AZ17," - ")</f>
        <v>0.81372549019607843</v>
      </c>
      <c r="BE17" s="127">
        <f>IF(ISNUMBER(BB17/BA17),BB17/BA17, " - ")</f>
        <v>0.96385542168674698</v>
      </c>
      <c r="BF17" s="127">
        <f>IF(ISNUMBER(BC17/BA17),BC17/BA17, " - ")</f>
        <v>0.39759036144578314</v>
      </c>
      <c r="BG17" s="196">
        <f>IF(ISNUMBER((AY17+AZ17)/BA17),(AY17+AZ17)/BA17," - ")</f>
        <v>1.963855421686747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2477</v>
      </c>
      <c r="J18" s="184">
        <f t="shared" si="15"/>
        <v>2124</v>
      </c>
      <c r="K18" s="184">
        <f t="shared" si="15"/>
        <v>2001</v>
      </c>
      <c r="L18" s="184">
        <f t="shared" si="15"/>
        <v>2600</v>
      </c>
      <c r="M18" s="184">
        <f t="shared" si="15"/>
        <v>205</v>
      </c>
      <c r="N18" s="184">
        <f t="shared" si="15"/>
        <v>1489</v>
      </c>
      <c r="O18" s="184">
        <f t="shared" si="15"/>
        <v>29</v>
      </c>
      <c r="P18" s="184">
        <f t="shared" si="15"/>
        <v>20</v>
      </c>
      <c r="Q18" s="184">
        <f t="shared" si="15"/>
        <v>34</v>
      </c>
      <c r="R18" s="184">
        <f t="shared" si="15"/>
        <v>95</v>
      </c>
      <c r="S18" s="184">
        <f t="shared" si="15"/>
        <v>2301</v>
      </c>
      <c r="T18" s="184">
        <f t="shared" si="15"/>
        <v>2225</v>
      </c>
      <c r="U18" s="184">
        <f t="shared" si="15"/>
        <v>1521</v>
      </c>
      <c r="V18" s="184">
        <f t="shared" si="15"/>
        <v>3005</v>
      </c>
      <c r="W18" s="184">
        <f t="shared" si="15"/>
        <v>191</v>
      </c>
      <c r="X18" s="184">
        <f t="shared" si="15"/>
        <v>1055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2301</v>
      </c>
      <c r="AZ18" s="184">
        <f>SUBTOTAL(9,AZ14:AZ17)</f>
        <v>2225</v>
      </c>
      <c r="BA18" s="184">
        <f>SUBTOTAL(9,BA14:BA17)</f>
        <v>1521</v>
      </c>
      <c r="BB18" s="184">
        <f>SUBTOTAL(9,BB14:BB17)</f>
        <v>3005</v>
      </c>
      <c r="BC18" s="184">
        <f>SUBTOTAL(9,BC14:BC17)</f>
        <v>191</v>
      </c>
      <c r="BD18" s="205">
        <f>IF(ISNUMBER(BA18/AZ18),BA18/AZ18," - ")</f>
        <v>0.68359550561797755</v>
      </c>
      <c r="BE18" s="206">
        <f>IF(ISNUMBER(BB18/BA18),BB18/BA18, " - ")</f>
        <v>1.9756738987508218</v>
      </c>
      <c r="BF18" s="206">
        <f>IF(ISNUMBER(BC18/BA18),BC18/BA18, " - ")</f>
        <v>0.12557527942143326</v>
      </c>
      <c r="BG18" s="207">
        <f>IF(ISNUMBER((AY18+AZ18)/BA18),(AY18+AZ18)/BA18," - ")</f>
        <v>2.9756738987508218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8270</v>
      </c>
      <c r="J19" s="134">
        <f t="shared" si="18"/>
        <v>3369</v>
      </c>
      <c r="K19" s="134">
        <f t="shared" si="18"/>
        <v>3284</v>
      </c>
      <c r="L19" s="134">
        <f t="shared" si="18"/>
        <v>8355</v>
      </c>
      <c r="M19" s="134">
        <f t="shared" si="18"/>
        <v>590</v>
      </c>
      <c r="N19" s="134">
        <f t="shared" si="18"/>
        <v>2065</v>
      </c>
      <c r="O19" s="134">
        <f t="shared" si="18"/>
        <v>397</v>
      </c>
      <c r="P19" s="134">
        <f t="shared" si="18"/>
        <v>238</v>
      </c>
      <c r="Q19" s="134">
        <f t="shared" si="18"/>
        <v>389</v>
      </c>
      <c r="R19" s="134">
        <f t="shared" si="18"/>
        <v>4121</v>
      </c>
      <c r="S19" s="134">
        <f t="shared" si="18"/>
        <v>5816</v>
      </c>
      <c r="T19" s="134">
        <f t="shared" si="18"/>
        <v>3207</v>
      </c>
      <c r="U19" s="134">
        <f t="shared" si="18"/>
        <v>2400</v>
      </c>
      <c r="V19" s="134">
        <f t="shared" si="18"/>
        <v>6623</v>
      </c>
      <c r="W19" s="134">
        <f t="shared" si="18"/>
        <v>561</v>
      </c>
      <c r="X19" s="134">
        <f t="shared" si="18"/>
        <v>1347</v>
      </c>
      <c r="Y19" s="134">
        <f t="shared" si="18"/>
        <v>84</v>
      </c>
      <c r="Z19" s="134">
        <f t="shared" si="18"/>
        <v>208</v>
      </c>
      <c r="AA19" s="134">
        <f t="shared" si="18"/>
        <v>209</v>
      </c>
      <c r="AB19" s="134">
        <f t="shared" si="18"/>
        <v>83</v>
      </c>
      <c r="AC19" s="134">
        <f t="shared" si="18"/>
        <v>0</v>
      </c>
      <c r="AD19" s="134">
        <f t="shared" si="18"/>
        <v>2</v>
      </c>
      <c r="AE19" s="134">
        <f t="shared" si="18"/>
        <v>2</v>
      </c>
      <c r="AF19" s="134">
        <f t="shared" si="18"/>
        <v>0</v>
      </c>
      <c r="AG19" s="134">
        <f t="shared" si="18"/>
        <v>89</v>
      </c>
      <c r="AH19" s="134">
        <f t="shared" si="18"/>
        <v>92</v>
      </c>
      <c r="AI19" s="134">
        <f t="shared" si="18"/>
        <v>101</v>
      </c>
      <c r="AJ19" s="134">
        <f t="shared" si="18"/>
        <v>80</v>
      </c>
      <c r="AK19" s="134">
        <f t="shared" si="18"/>
        <v>0</v>
      </c>
      <c r="AL19" s="134">
        <f t="shared" si="18"/>
        <v>1</v>
      </c>
      <c r="AM19" s="134">
        <f t="shared" si="18"/>
        <v>0</v>
      </c>
      <c r="AN19" s="210">
        <f t="shared" si="18"/>
        <v>1</v>
      </c>
      <c r="AO19" s="211">
        <v>6</v>
      </c>
      <c r="AP19" s="211">
        <v>5</v>
      </c>
      <c r="AQ19" s="211">
        <v>5</v>
      </c>
      <c r="AR19" s="211">
        <v>5</v>
      </c>
      <c r="AS19" s="153">
        <f t="shared" si="18"/>
        <v>0</v>
      </c>
      <c r="AT19" s="153">
        <f t="shared" si="18"/>
        <v>0</v>
      </c>
      <c r="AU19" s="211"/>
      <c r="AV19" s="212"/>
      <c r="AW19" s="211"/>
      <c r="AX19" s="212"/>
      <c r="AY19" s="133">
        <f>SUBTOTAL(9,AY9:AY18)</f>
        <v>5905</v>
      </c>
      <c r="AZ19" s="134">
        <f>SUBTOTAL(9,AZ9:AZ18)</f>
        <v>3299</v>
      </c>
      <c r="BA19" s="134">
        <f>SUBTOTAL(9,BA9:BA18)</f>
        <v>2501</v>
      </c>
      <c r="BB19" s="134">
        <f>SUBTOTAL(9,BB9:BB18)</f>
        <v>6703</v>
      </c>
      <c r="BC19" s="135">
        <f>SUBTOTAL(9,BC9:BC18)</f>
        <v>488</v>
      </c>
      <c r="BD19" s="213">
        <f>IF(ISNUMBER(BA19/AZ19),BA19/AZ19," - ")</f>
        <v>0.7581085177326462</v>
      </c>
      <c r="BE19" s="210">
        <f>IF(ISNUMBER(BB19/BA19),BB19/BA19, " - ")</f>
        <v>2.6801279488204717</v>
      </c>
      <c r="BF19" s="210">
        <f>IF(ISNUMBER(BC19/BA19),BC19/BA19, " - ")</f>
        <v>0.1951219512195122</v>
      </c>
      <c r="BG19" s="135">
        <f>IF(ISNUMBER((AY19+AZ19)/BA19),(AY19+AZ19)/BA19," - ")</f>
        <v>3.6801279488204717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WXuzTyQChO9L370It+ntuq6O5+36wq53eIrKd+uA3w9V6QMGtoI6BnZMqA44vFYS1XP64PBThUeN1PZ4/YJLw==" saltValue="4nYl0n+2LB5z7Kto8/7md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X/Flsg5bb/iKTxAaw52737oXGHeT30Ubol7z+wdUU8nqkQ+33AkFD8lragHwtxuU0IwpGm06USyCmxgPcA6RA==" saltValue="iKezp5DTywTVD1L7yo6Z5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VELEZ-MALAGA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1.6666666666666667</v>
      </c>
      <c r="BH10" s="260">
        <f>IF(ISNUMBER(((Datos!L10/Datos!K10)*11)/factor_trimestre),((Datos!L10/Datos!K10)*11)/factor_trimestre," - ")</f>
        <v>2.4000000000000004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208</v>
      </c>
      <c r="O12" s="334"/>
      <c r="P12" s="334"/>
      <c r="Q12" s="226">
        <f>IF(ISNUMBER(Datos!P12),Datos!P12,0)</f>
        <v>218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83</v>
      </c>
      <c r="AI12" s="334" t="str">
        <f>IF(ISNUMBER(Datos!CD12),Datos!CD12,"-")</f>
        <v>-</v>
      </c>
      <c r="AJ12" s="334" t="str">
        <f>IF(ISNUMBER(Datos!EN12),Datos!EN12," - ")</f>
        <v xml:space="preserve"> - </v>
      </c>
      <c r="AK12" s="334"/>
      <c r="AL12" s="479"/>
      <c r="AM12" s="335">
        <f>IF(ISNUMBER(Datos!R12),Datos!R12," - ")</f>
        <v>4026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381</v>
      </c>
      <c r="BD12" s="229">
        <f>IF(ISNUMBER(Datos!N12),Datos!N12," - ")</f>
        <v>575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1.0255172413793103</v>
      </c>
      <c r="BH12" s="260">
        <f>IF(ISNUMBER(((IF(J_V="SI",Datos!L12/Datos!K12,(Datos!L12+Datos!AB12)/(Datos!K12+Datos!AA12)))*11)/factor_trimestre),((IF(J_V="SI",Datos!L12/Datos!K12,(Datos!L12+Datos!AB12)/(Datos!K12+Datos!AA12)))*11)/factor_trimestre," - ")</f>
        <v>11.770006724949564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-3.2908959884698538E-2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208</v>
      </c>
      <c r="O13" s="900">
        <f t="shared" si="0"/>
        <v>0</v>
      </c>
      <c r="P13" s="900">
        <f t="shared" si="0"/>
        <v>0</v>
      </c>
      <c r="Q13" s="899">
        <f t="shared" si="0"/>
        <v>218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355</v>
      </c>
      <c r="AD13" s="899">
        <f t="shared" si="1"/>
        <v>0</v>
      </c>
      <c r="AE13" s="899">
        <f t="shared" si="1"/>
        <v>0</v>
      </c>
      <c r="AF13" s="899">
        <f t="shared" si="1"/>
        <v>4</v>
      </c>
      <c r="AG13" s="899">
        <f t="shared" si="1"/>
        <v>0</v>
      </c>
      <c r="AH13" s="899">
        <f t="shared" si="1"/>
        <v>83</v>
      </c>
      <c r="AI13" s="899">
        <f t="shared" si="1"/>
        <v>0</v>
      </c>
      <c r="AJ13" s="899">
        <f t="shared" si="1"/>
        <v>0</v>
      </c>
      <c r="AK13" s="899">
        <f t="shared" si="1"/>
        <v>0</v>
      </c>
      <c r="AL13" s="899">
        <f t="shared" si="1"/>
        <v>0</v>
      </c>
      <c r="AM13" s="899">
        <f t="shared" si="1"/>
        <v>4026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385</v>
      </c>
      <c r="BD13" s="899">
        <f t="shared" si="1"/>
        <v>576</v>
      </c>
      <c r="BE13" s="899">
        <f t="shared" si="1"/>
        <v>0</v>
      </c>
      <c r="BF13" s="899">
        <f t="shared" si="1"/>
        <v>0</v>
      </c>
      <c r="BG13" s="899">
        <f>IF(ISNUMBER(Datos!K13/Datos!J13),Datos!K13/Datos!J13," - ")</f>
        <v>1.0305220883534136</v>
      </c>
      <c r="BH13" s="903">
        <f>IF(ISNUMBER(((Datos!L13/Datos!K13)*11)/factor_trimestre),((Datos!L13/Datos!K13)*11)/factor_trimestre," - ")</f>
        <v>13.456742010911924</v>
      </c>
      <c r="BI13" s="899">
        <f>IF(ISNUMBER('Resol  Asuntos'!D13/NºAsuntos!G13),'Resol  Asuntos'!D13/NºAsuntos!G13," - ")</f>
        <v>0.25804289544235925</v>
      </c>
      <c r="BJ13" s="899" t="str">
        <f>IF(ISNUMBER(Datos!CI13/Datos!CJ13),Datos!CI13/Datos!CJ13," - ")</f>
        <v xml:space="preserve"> - </v>
      </c>
      <c r="BK13" s="899">
        <f>SUBTOTAL(9,BK8:BK12)</f>
        <v>0</v>
      </c>
      <c r="BL13" s="899">
        <f>IF(ISNUMBER((I13-AB13+L13)/(F13)),(I13-AB13+L13)/(F13)," - ")</f>
        <v>-0.83333333333333337</v>
      </c>
      <c r="BM13" s="904">
        <f>SUBTOTAL(9,BM9:BM12)</f>
        <v>-3.2908959884698538E-2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2382</v>
      </c>
      <c r="G16" s="598">
        <f>IF(ISNUMBER(IF(D_I="SI",Datos!I16,Datos!I16+Datos!AC16)),IF(D_I="SI",Datos!I16,Datos!I16+Datos!AC16)," - ")</f>
        <v>2382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1826</v>
      </c>
      <c r="AC16" s="226">
        <f>IF(ISNUMBER(Datos!Q16),Datos!Q16," - ")</f>
        <v>33</v>
      </c>
      <c r="AD16" s="334"/>
      <c r="AE16" s="484"/>
      <c r="AF16" s="596">
        <f>IF(ISNUMBER(IF(D_I="SI",Datos!L16,Datos!L16+Datos!AF16)),IF(D_I="SI",Datos!L16,Datos!L16+Datos!AF16)," - ")</f>
        <v>2503</v>
      </c>
      <c r="AG16" s="334"/>
      <c r="AH16" s="334"/>
      <c r="AI16" s="334"/>
      <c r="AJ16" s="334"/>
      <c r="AK16" s="334"/>
      <c r="AL16" s="479"/>
      <c r="AM16" s="335">
        <f>IF(ISNUMBER(Datos!R16),Datos!R16," - ")</f>
        <v>83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183</v>
      </c>
      <c r="BD16" s="229">
        <f>IF(ISNUMBER(Datos!N16),Datos!N16," - ")</f>
        <v>1361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0.93785310734463279</v>
      </c>
      <c r="BH16" s="260">
        <f>IF(ISNUMBER(((IF(D_I="SI",Datos!L16/Datos!K16,(Datos!L16+Datos!AF16)/(Datos!K16+Datos!AE16)))*11)/factor_trimestre),((IF(D_I="SI",Datos!L16/Datos!K16,(Datos!L16+Datos!AF16)/(Datos!K16+Datos!AE16)))*11)/factor_trimestre," - ")</f>
        <v>4.1122672508214677</v>
      </c>
      <c r="BI16" s="243">
        <f>IF(ISNUMBER('Resol  Asuntos'!D16/NºAsuntos!G16),'Resol  Asuntos'!D16/NºAsuntos!G16," - ")</f>
        <v>0.10021905805038335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175</v>
      </c>
      <c r="AC17" s="226">
        <f>IF(ISNUMBER(Datos!Q17),Datos!Q17," - ")</f>
        <v>1</v>
      </c>
      <c r="AD17" s="334"/>
      <c r="AE17" s="484"/>
      <c r="AF17" s="332">
        <f>IF(ISNUMBER(Datos!L17),Datos!L17,"-")</f>
        <v>97</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128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0.98870056497175141</v>
      </c>
      <c r="BH17" s="260">
        <f>IF(ISNUMBER(((IF(D_I="SI",Datos!L17/Datos!K17,(Datos!L17+Datos!AF17)/(Datos!K17+Datos!AE17)))*11)/factor_trimestre),((IF(D_I="SI",Datos!L17/Datos!K17,(Datos!L17+Datos!AF17)/(Datos!K17+Datos!AE17)))*11)/factor_trimestre," - ")</f>
        <v>1.6628571428571428</v>
      </c>
      <c r="BI17" s="243">
        <f>IF(ISNUMBER('Resol  Asuntos'!D17/NºAsuntos!G17),'Resol  Asuntos'!D17/NºAsuntos!G17," - ")</f>
        <v>0.12571428571428572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2382</v>
      </c>
      <c r="G18" s="898">
        <f>SUBTOTAL(9,G15:G17)</f>
        <v>2477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2001</v>
      </c>
      <c r="AC18" s="899">
        <f t="shared" si="4"/>
        <v>34</v>
      </c>
      <c r="AD18" s="899">
        <f t="shared" si="4"/>
        <v>0</v>
      </c>
      <c r="AE18" s="899">
        <f t="shared" si="4"/>
        <v>0</v>
      </c>
      <c r="AF18" s="899">
        <f t="shared" si="4"/>
        <v>2600</v>
      </c>
      <c r="AG18" s="899">
        <f t="shared" si="4"/>
        <v>0</v>
      </c>
      <c r="AH18" s="899">
        <f t="shared" si="4"/>
        <v>0</v>
      </c>
      <c r="AI18" s="899">
        <f t="shared" si="4"/>
        <v>0</v>
      </c>
      <c r="AJ18" s="899">
        <f t="shared" si="4"/>
        <v>0</v>
      </c>
      <c r="AK18" s="899">
        <f t="shared" si="4"/>
        <v>0</v>
      </c>
      <c r="AL18" s="899">
        <f t="shared" si="4"/>
        <v>0</v>
      </c>
      <c r="AM18" s="899">
        <f t="shared" si="4"/>
        <v>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205</v>
      </c>
      <c r="BD18" s="899">
        <f t="shared" si="4"/>
        <v>1489</v>
      </c>
      <c r="BE18" s="899">
        <f t="shared" si="4"/>
        <v>0</v>
      </c>
      <c r="BF18" s="899">
        <f t="shared" si="4"/>
        <v>0</v>
      </c>
      <c r="BG18" s="899">
        <f>IF(ISNUMBER(Datos!K18/Datos!J18),Datos!K18/Datos!J18," - ")</f>
        <v>0.94209039548022599</v>
      </c>
      <c r="BH18" s="903">
        <f>IF(ISNUMBER(((Datos!L18/Datos!K18)*11)/factor_trimestre),((Datos!L18/Datos!K18)*11)/factor_trimestre," - ")</f>
        <v>3.8980509745127438</v>
      </c>
      <c r="BI18" s="899">
        <f>SUBTOTAL(9,BI15:BI17)</f>
        <v>0.22593334376466906</v>
      </c>
      <c r="BJ18" s="899">
        <f>SUBTOTAL(9,BJ15:BJ17)</f>
        <v>0</v>
      </c>
      <c r="BK18" s="899">
        <f>SUBTOTAL(9,BK15:BK17)</f>
        <v>0</v>
      </c>
      <c r="BL18" s="899">
        <f>IF(ISNUMBER((I18-AB18+L18)/(F18)),(I18-AB18+L18)/(F18)," - ")</f>
        <v>-0.84005037783375314</v>
      </c>
      <c r="BM18" s="905">
        <f>IF(ISNUMBER((Datos!P18-Datos!Q18)/(Datos!R18-Datos!P18+Datos!Q18)),(Datos!P18-Datos!Q18)/(Datos!R18-Datos!P18+Datos!Q18)," - ")</f>
        <v>-0.12844036697247707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2388</v>
      </c>
      <c r="G19" s="820">
        <f t="shared" si="6"/>
        <v>2483</v>
      </c>
      <c r="H19" s="822">
        <f t="shared" si="6"/>
        <v>0</v>
      </c>
      <c r="I19" s="820">
        <f t="shared" si="6"/>
        <v>0</v>
      </c>
      <c r="J19" s="822">
        <f t="shared" si="6"/>
        <v>0</v>
      </c>
      <c r="K19" s="822">
        <f t="shared" si="6"/>
        <v>0</v>
      </c>
      <c r="L19" s="881">
        <f t="shared" si="6"/>
        <v>0</v>
      </c>
      <c r="M19" s="881">
        <f t="shared" si="6"/>
        <v>0</v>
      </c>
      <c r="N19" s="881">
        <f t="shared" si="6"/>
        <v>208</v>
      </c>
      <c r="O19" s="881">
        <f t="shared" si="6"/>
        <v>0</v>
      </c>
      <c r="P19" s="881">
        <f t="shared" si="6"/>
        <v>0</v>
      </c>
      <c r="Q19" s="822">
        <f t="shared" si="6"/>
        <v>238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2006</v>
      </c>
      <c r="AC19" s="821">
        <f t="shared" si="7"/>
        <v>389</v>
      </c>
      <c r="AD19" s="821">
        <f t="shared" si="7"/>
        <v>0</v>
      </c>
      <c r="AE19" s="821">
        <f t="shared" si="7"/>
        <v>0</v>
      </c>
      <c r="AF19" s="828">
        <f t="shared" si="7"/>
        <v>2604</v>
      </c>
      <c r="AG19" s="828">
        <f t="shared" si="7"/>
        <v>0</v>
      </c>
      <c r="AH19" s="828">
        <f t="shared" si="7"/>
        <v>83</v>
      </c>
      <c r="AI19" s="828">
        <f t="shared" si="7"/>
        <v>0</v>
      </c>
      <c r="AJ19" s="821">
        <f t="shared" si="7"/>
        <v>0</v>
      </c>
      <c r="AK19" s="828">
        <f t="shared" si="7"/>
        <v>0</v>
      </c>
      <c r="AL19" s="828">
        <f t="shared" si="7"/>
        <v>0</v>
      </c>
      <c r="AM19" s="828">
        <f t="shared" si="7"/>
        <v>4121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590</v>
      </c>
      <c r="BD19" s="820">
        <f t="shared" si="7"/>
        <v>2065</v>
      </c>
      <c r="BE19" s="820">
        <f t="shared" si="7"/>
        <v>0</v>
      </c>
      <c r="BF19" s="830">
        <f t="shared" si="7"/>
        <v>0</v>
      </c>
      <c r="BG19" s="915">
        <f>IF(ISNUMBER(Datos!K19/Datos!J19),Datos!K19/Datos!J19," - ")</f>
        <v>0.97476996141288219</v>
      </c>
      <c r="BH19" s="915">
        <f>IF(ISNUMBER(((Datos!L19/Datos!K19)*11)/factor_trimestre),((Datos!L19/Datos!K19)*11)/factor_trimestre," - ")</f>
        <v>7.6324604141291124</v>
      </c>
      <c r="BI19" s="813">
        <f>IF(ISNUMBER(Datos!J19/Datos!I19),Datos!J19/Datos!I19," - ")</f>
        <v>0.40737605804111243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-0.84003350083752093</v>
      </c>
      <c r="BM19" s="889">
        <f>IF(ISNUMBER((Datos!P19-Datos!Q19+R19)/(Datos!R19-Datos!P19+Datos!Q19-R19)),(Datos!P19-Datos!Q19+R19)/(Datos!R19-Datos!P19+Datos!Q19-R19)," - ")</f>
        <v>-3.5346441947565546E-2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993.2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1371.7842395945509</v>
      </c>
      <c r="G21" s="552">
        <f>IF(ISNUMBER(STDEV(G8:G18)),STDEV(G8:G18),"-")</f>
        <v>1312.089821620456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1018.5434698627251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165.7307052620807</v>
      </c>
      <c r="BD21" s="551"/>
      <c r="BE21" s="551">
        <f>IF(ISNUMBER(STDEV(BE8:BE18)),STDEV(BE8:BE18),"-")</f>
        <v>0</v>
      </c>
      <c r="BF21" s="556">
        <f>IF(ISNUMBER(STDEV(BF8:BF18)),STDEV(BF8:BF18),"-")</f>
        <v>0</v>
      </c>
      <c r="BG21" s="775">
        <f>IF(ISNUMBER(STDEV(BG8:BG18)),STDEV(BG8:BG18),"-")</f>
        <v>0.28110073804707453</v>
      </c>
      <c r="BH21" s="776">
        <f>IF(ISNUMBER(STDEV(BH8:BH18)),STDEV(BH8:BH18),"-")</f>
        <v>5.0668901319292932</v>
      </c>
      <c r="BI21" s="249">
        <f>IF(ISNUMBER(STDEV(BI8:BI18)),STDEV(BI8:BI18),"-")</f>
        <v>7.6347994829284463E-2</v>
      </c>
      <c r="BJ21" s="230" t="str">
        <f>IF(ISNUMBER(BL21/BM21),BL21/BM21," - ")</f>
        <v xml:space="preserve"> - </v>
      </c>
      <c r="BK21" s="575"/>
      <c r="BL21" s="559">
        <f>IF(ISNUMBER(STDEV(BL8:BL18)),STDEV(BL8:BL18),"-")</f>
        <v>4.7496677157786221E-3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WFj32guoyLdt63dTisquOCwHa9eYZLwvn69eJdc76APxDMXla+K1aIZUZO3xHc5TvTkVDppihK8AiCnGz+oQ==" saltValue="CzrN53eYIswsKyz/8QBG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VELEZ-MALAGA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2.4000000000000004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355</v>
      </c>
      <c r="AA12" s="332" t="str">
        <f>IF(ISNUMBER(IF(J_V="SI",Datos!L12,Datos!L12+Datos!AB12)-IF(Monitorios="SI",Datos!CD12,0)),
                          IF(J_V="SI",Datos!L12,Datos!L12+Datos!AB12)-IF(Monitorios="SI",Datos!CD12,0),
                          " - ")</f>
        <v xml:space="preserve"> - </v>
      </c>
      <c r="AB12" s="334"/>
      <c r="AC12" s="334"/>
      <c r="AD12" s="484"/>
      <c r="AE12" s="484">
        <f>IF(ISNUMBER(Datos!R12),Datos!R12," - ")</f>
        <v>4026</v>
      </c>
      <c r="AF12" s="229" t="str">
        <f>IF(ISNUMBER(Datos!BV12),Datos!BV12," - ")</f>
        <v xml:space="preserve"> - </v>
      </c>
      <c r="AG12" s="225" t="str">
        <f>IF(ISNUMBER(Datos!DV12),Datos!DV12," - ")</f>
        <v xml:space="preserve"> - </v>
      </c>
      <c r="AH12" s="298"/>
      <c r="AI12" s="227"/>
      <c r="AJ12" s="225">
        <f>IF(ISNUMBER(Datos!M12),Datos!M12," - ")</f>
        <v>381</v>
      </c>
      <c r="AK12" s="229">
        <f>IF(ISNUMBER(Datos!N12),Datos!N12," - ")</f>
        <v>575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11.770006724949564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-3.2908959884698538E-2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218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355</v>
      </c>
      <c r="AA13" s="900">
        <f t="shared" si="2"/>
        <v>4</v>
      </c>
      <c r="AB13" s="900">
        <f t="shared" si="2"/>
        <v>0</v>
      </c>
      <c r="AC13" s="900">
        <f t="shared" si="2"/>
        <v>0</v>
      </c>
      <c r="AD13" s="900">
        <f t="shared" si="2"/>
        <v>0</v>
      </c>
      <c r="AE13" s="900">
        <f t="shared" si="2"/>
        <v>4026</v>
      </c>
      <c r="AF13" s="908">
        <f t="shared" si="2"/>
        <v>0</v>
      </c>
      <c r="AG13" s="908">
        <f t="shared" si="2"/>
        <v>0</v>
      </c>
      <c r="AH13" s="908">
        <f t="shared" si="2"/>
        <v>0</v>
      </c>
      <c r="AI13" s="908">
        <f t="shared" si="2"/>
        <v>0</v>
      </c>
      <c r="AJ13" s="908">
        <f t="shared" si="2"/>
        <v>385</v>
      </c>
      <c r="AK13" s="908">
        <f t="shared" si="2"/>
        <v>576</v>
      </c>
      <c r="AL13" s="908">
        <f t="shared" si="2"/>
        <v>0</v>
      </c>
      <c r="AM13" s="908">
        <f t="shared" si="2"/>
        <v>0</v>
      </c>
      <c r="AN13" s="908">
        <f t="shared" si="2"/>
        <v>0</v>
      </c>
      <c r="AO13" s="904">
        <f>IF(ISNUMBER(((NºAsuntos!I13/NºAsuntos!G13)*11)/factor_trimestre),((NºAsuntos!I13/NºAsuntos!G13)*11)/factor_trimestre," - ")</f>
        <v>11.738605898123325</v>
      </c>
      <c r="AP13" s="910" t="str">
        <f>IF(ISNUMBER(Datos!CI13/Datos!CJ13),Datos!CI13/Datos!CJ13," - ")</f>
        <v xml:space="preserve"> - </v>
      </c>
      <c r="AQ13" s="928">
        <f t="shared" ref="AQ13:AV13" si="3">SUBTOTAL(9,AQ9:AQ12)</f>
        <v>0</v>
      </c>
      <c r="AR13" s="928">
        <f t="shared" si="3"/>
        <v>-3.2908959884698538E-2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2382</v>
      </c>
      <c r="G16" s="225">
        <f>IF(ISNUMBER(IF(D_I="SI",Datos!I16,Datos!I16+Datos!AC16)),IF(D_I="SI",Datos!I16,Datos!I16+Datos!AC16)," - ")</f>
        <v>2382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1826</v>
      </c>
      <c r="Z16" s="619">
        <f>IF(ISNUMBER(Datos!Q16),Datos!Q16," - ")</f>
        <v>33</v>
      </c>
      <c r="AA16" s="332">
        <f>IF(ISNUMBER(IF(D_I="SI",Datos!L16,Datos!L16+Datos!AF16)),IF(D_I="SI",Datos!L16,Datos!L16+Datos!AF16)," - ")</f>
        <v>2503</v>
      </c>
      <c r="AB16" s="334"/>
      <c r="AC16" s="334"/>
      <c r="AD16" s="484"/>
      <c r="AE16" s="484">
        <f>IF(ISNUMBER(Datos!R16),Datos!R16," - ")</f>
        <v>83</v>
      </c>
      <c r="AF16" s="229" t="str">
        <f>IF(ISNUMBER(Datos!BV16),Datos!BV16," - ")</f>
        <v xml:space="preserve"> - </v>
      </c>
      <c r="AG16" s="225"/>
      <c r="AH16" s="298"/>
      <c r="AI16" s="227"/>
      <c r="AJ16" s="225">
        <f>IF(ISNUMBER(Datos!M16),Datos!M16," - ")</f>
        <v>183</v>
      </c>
      <c r="AK16" s="229">
        <f>IF(ISNUMBER(Datos!N16),Datos!N16," - ")</f>
        <v>1361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4.1122672508214677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175</v>
      </c>
      <c r="Z17" s="619">
        <f>IF(ISNUMBER(Datos!Q17),Datos!Q17," - ")</f>
        <v>1</v>
      </c>
      <c r="AA17" s="332">
        <f>IF(ISNUMBER(Datos!L17),Datos!L17,"-")</f>
        <v>97</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22</v>
      </c>
      <c r="AK17" s="229">
        <f>IF(ISNUMBER(Datos!N17),Datos!N17," - ")</f>
        <v>128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1.6628571428571428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2382</v>
      </c>
      <c r="G18" s="898">
        <f>SUBTOTAL(9,G15:G17)</f>
        <v>2477</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2001</v>
      </c>
      <c r="Z18" s="932">
        <f t="shared" si="5"/>
        <v>34</v>
      </c>
      <c r="AA18" s="932">
        <f t="shared" si="5"/>
        <v>2600</v>
      </c>
      <c r="AB18" s="932">
        <f t="shared" si="5"/>
        <v>0</v>
      </c>
      <c r="AC18" s="932">
        <f t="shared" si="5"/>
        <v>0</v>
      </c>
      <c r="AD18" s="932">
        <f t="shared" si="5"/>
        <v>0</v>
      </c>
      <c r="AE18" s="932">
        <f t="shared" si="5"/>
        <v>95</v>
      </c>
      <c r="AF18" s="932">
        <f t="shared" si="5"/>
        <v>0</v>
      </c>
      <c r="AG18" s="932">
        <f t="shared" si="5"/>
        <v>0</v>
      </c>
      <c r="AH18" s="932">
        <f t="shared" si="5"/>
        <v>0</v>
      </c>
      <c r="AI18" s="932">
        <f t="shared" si="5"/>
        <v>0</v>
      </c>
      <c r="AJ18" s="932">
        <f t="shared" si="5"/>
        <v>205</v>
      </c>
      <c r="AK18" s="932">
        <f t="shared" si="5"/>
        <v>1489</v>
      </c>
      <c r="AL18" s="932">
        <f t="shared" si="5"/>
        <v>0</v>
      </c>
      <c r="AM18" s="932">
        <f t="shared" si="5"/>
        <v>0</v>
      </c>
      <c r="AN18" s="932">
        <f t="shared" si="5"/>
        <v>0</v>
      </c>
      <c r="AO18" s="934">
        <f>IF(ISNUMBER(((NºAsuntos!I18/NºAsuntos!G18)*11)/factor_trimestre),((NºAsuntos!I18/NºAsuntos!G18)*11)/factor_trimestre," - ")</f>
        <v>3.8980509745127438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2388</v>
      </c>
      <c r="G19" s="820">
        <f t="shared" si="7"/>
        <v>2483</v>
      </c>
      <c r="H19" s="821">
        <f t="shared" si="7"/>
        <v>0</v>
      </c>
      <c r="I19" s="820">
        <f t="shared" si="7"/>
        <v>0</v>
      </c>
      <c r="J19" s="822">
        <f t="shared" si="7"/>
        <v>0</v>
      </c>
      <c r="K19" s="820">
        <f t="shared" si="7"/>
        <v>0</v>
      </c>
      <c r="L19" s="823">
        <f t="shared" si="7"/>
        <v>0</v>
      </c>
      <c r="M19" s="820">
        <f t="shared" si="7"/>
        <v>0</v>
      </c>
      <c r="N19" s="821">
        <f t="shared" si="7"/>
        <v>238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2006</v>
      </c>
      <c r="Z19" s="827">
        <f t="shared" si="8"/>
        <v>389</v>
      </c>
      <c r="AA19" s="828">
        <f t="shared" si="8"/>
        <v>2604</v>
      </c>
      <c r="AB19" s="828">
        <f t="shared" si="8"/>
        <v>0</v>
      </c>
      <c r="AC19" s="828">
        <f t="shared" si="8"/>
        <v>0</v>
      </c>
      <c r="AD19" s="829">
        <f t="shared" si="8"/>
        <v>0</v>
      </c>
      <c r="AE19" s="829">
        <f t="shared" si="8"/>
        <v>4121</v>
      </c>
      <c r="AF19" s="830">
        <f t="shared" si="8"/>
        <v>0</v>
      </c>
      <c r="AG19" s="831">
        <f t="shared" si="8"/>
        <v>0</v>
      </c>
      <c r="AH19" s="832">
        <f t="shared" si="8"/>
        <v>0</v>
      </c>
      <c r="AI19" s="830">
        <f t="shared" si="8"/>
        <v>0</v>
      </c>
      <c r="AJ19" s="820">
        <f t="shared" si="8"/>
        <v>590</v>
      </c>
      <c r="AK19" s="820">
        <f t="shared" si="8"/>
        <v>2065</v>
      </c>
      <c r="AL19" s="820">
        <f t="shared" si="8"/>
        <v>0</v>
      </c>
      <c r="AM19" s="833">
        <f t="shared" si="8"/>
        <v>0</v>
      </c>
      <c r="AN19" s="823">
        <f>IF(ISNUMBER(Datos!K19/Datos!J19),Datos!K19/Datos!J19," - ")</f>
        <v>0.97476996141288219</v>
      </c>
      <c r="AO19" s="823">
        <f>IF(ISNUMBER(FIND("06",Criterios!A8,1)),(IF(ISNUMBER(((Datos!R19/Datos!Q19)*11)/factor_trimestre),((Datos!R19/Datos!Q19)*11)/factor_trimestre," - ")),(IF(ISNUMBER(((Datos!L19/Datos!K19)*11)/factor_trimestre),((Datos!L19/Datos!K19)*11)/factor_trimestre," - ")))</f>
        <v>7.6324604141291124</v>
      </c>
      <c r="AP19" s="834" t="str">
        <f>IF(ISNUMBER(Datos!CI19/Datos!CJ19),Datos!CI19/Datos!CJ19," - ")</f>
        <v xml:space="preserve"> - </v>
      </c>
      <c r="AQ19" s="834">
        <f>IF(OR(ISNUMBER(FIND("01",Criterios!A8,1)),ISNUMBER(FIND("02",Criterios!A8,1)),ISNUMBER(FIND("03",Criterios!A8,1)),ISNUMBER(FIND("04",Criterios!A8,1))),(J19-Y19+K19)/(F19-K19),(I19-Y19+K19)/(F19-K19))</f>
        <v>-0.84003350083752093</v>
      </c>
      <c r="AR19" s="834">
        <f>IF(ISNUMBER((Datos!P19-Datos!Q19+O19)/(Datos!R19-Datos!P19+Datos!Q19-O19)),(Datos!P19-Datos!Q19+O19)/(Datos!R19-Datos!P19+Datos!Q19-O19)," - ")</f>
        <v>-3.5346441947565546E-2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993.2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1371.7842395945509</v>
      </c>
      <c r="G21" s="552">
        <f>IF(ISNUMBER(STDEV(G8:G18)),STDEV(G8:G18),"-")</f>
        <v>1312.089821620456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165.7307052620807</v>
      </c>
      <c r="AK21" s="252"/>
      <c r="AL21" s="252">
        <f>IF(ISNUMBER(STDEV(AL8:AL18)),STDEV(AL8:AL18),"-")</f>
        <v>0</v>
      </c>
      <c r="AM21" s="254">
        <f>IF(ISNUMBER(STDEV(AM8:AM18)),STDEV(AM8:AM18),"-")</f>
        <v>0</v>
      </c>
      <c r="AN21" s="539">
        <f>IF(ISNUMBER(STDEV(AN8:AN18)),STDEV(AN8:AN18),"-")</f>
        <v>0</v>
      </c>
      <c r="AO21" s="540">
        <f>IF(ISNUMBER(STDEV(AO8:AO18)),STDEV(AO8:AO18),"-")</f>
        <v>4.6032153511916087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nHYKUZLNIor3SSLrqPGTiyYaTvCryTZX/GmL4WYr8j60TqHVKdDOtIP3RCgls+Vh5Y5NvBL3MZa0ryKV8zd0A==" saltValue="3zQ6QRIQLGQ46ay8zMEu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SW0NqgK8wKY+rPf0dXVBeRYQ9EVx7IlkEWOyyu51VHyHjyey0DQNSx8TjaLbeCM1yg57xbfEnVsnLXBN9AjKg==" saltValue="wFmMiaDxiVPDv5kg5iw9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MJqIKagbsOxbmPyUV79WaTMOa3+7svlSRnYMca45sqtQzJnzwwspSUX3YOLCUPCCBNvdcGJeHsk/ZOLNaMPVg==" saltValue="Ap7c19v6xFdXpnOsAPou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VELEZ-MALAGA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0.25804289544235925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0.18246388120430349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dYUQZeMGrUV448dFZtY5xxeNqNPOQWv7Zz0OnR7wqaY99CxGy8P6jiAkklQSDQruSecYXPCxS7MNNrXp2KhAg==" saltValue="acFEIVaYtESSxmw197v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Nq/Lp88bxqXDMd6Jsb0U34efZoS7yes/3i8O91E7SNBd3V0NL65SONe8BLa6zawwR+3DixJYo25JJCKVJhvMA==" saltValue="isiGCGuaJMPCDVgvYDRO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VELEZ-MALAGA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3</v>
      </c>
      <c r="F10" s="404">
        <f>IF(ISNUMBER(E10/B10),E10/B10," - ")</f>
        <v>3</v>
      </c>
      <c r="G10" s="403">
        <f>IF(ISNUMBER(Datos!K10),Datos!K10," - ")</f>
        <v>5</v>
      </c>
      <c r="H10" s="404">
        <f>IF(ISNUMBER(G10/B10),G10/B10," - ")</f>
        <v>5</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5871</v>
      </c>
      <c r="D12" s="404">
        <f>IF(ISNUMBER(C12/Datos!BH12),C12/Datos!BH12," - ")</f>
        <v>1174.2</v>
      </c>
      <c r="E12" s="403">
        <f>IF(ISNUMBER(IF(J_V="SI",Datos!J12,Datos!J12+Datos!Z12)),IF(J_V="SI",Datos!J12,Datos!J12+Datos!Z12)," - ")</f>
        <v>1450</v>
      </c>
      <c r="F12" s="404">
        <f>IF(ISNUMBER(E12/B12),E12/B12," - ")</f>
        <v>290</v>
      </c>
      <c r="G12" s="403">
        <f>IF(ISNUMBER(IF(J_V="SI",Datos!K12,Datos!K12+Datos!AA12)),IF(J_V="SI",Datos!K12,Datos!K12+Datos!AA12)," - ")</f>
        <v>1487</v>
      </c>
      <c r="H12" s="404">
        <f>IF(ISNUMBER(G12/B12),G12/B12," - ")</f>
        <v>297.39999999999998</v>
      </c>
      <c r="I12" s="403">
        <f>IF(ISNUMBER(IF(J_V="SI",Datos!L12,Datos!L12+Datos!AB12)),IF(J_V="SI",Datos!L12,Datos!L12+Datos!AB12)," - ")</f>
        <v>5834</v>
      </c>
      <c r="J12" s="404">
        <f>IF(ISNUMBER(I12/B12),I12/B12," - ")</f>
        <v>1166.8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5877</v>
      </c>
      <c r="D13" s="850" t="str">
        <f>IF(ISNUMBER(C13/Datos!BI13),C13/Datos!BI13," - ")</f>
        <v xml:space="preserve"> - </v>
      </c>
      <c r="E13" s="849">
        <f>SUBTOTAL(9,E8:E12)</f>
        <v>1453</v>
      </c>
      <c r="F13" s="850">
        <f>IF(ISNUMBER(E13/B13),E13/B13," - ")</f>
        <v>290.60000000000002</v>
      </c>
      <c r="G13" s="849">
        <f>SUBTOTAL(9,G8:G12)</f>
        <v>1492</v>
      </c>
      <c r="H13" s="850">
        <f>IF(ISNUMBER(G13/B13),G13/B13," - ")</f>
        <v>298.39999999999998</v>
      </c>
      <c r="I13" s="849">
        <f>SUBTOTAL(9,I8:I12)</f>
        <v>5838</v>
      </c>
      <c r="J13" s="850">
        <f>IF(ISNUMBER(I13/B13),I13/B13," - ")</f>
        <v>1167.5999999999999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2382</v>
      </c>
      <c r="D16" s="404">
        <f>IF(ISNUMBER(C16/Datos!BH16),C16/Datos!BH16," - ")</f>
        <v>476.4</v>
      </c>
      <c r="E16" s="403">
        <f>IF(ISNUMBER(IF(D_I="SI",Datos!J16,Datos!J16+Datos!AD16)),IF(D_I="SI",Datos!J16,Datos!J16+Datos!AD16)," - ")</f>
        <v>1947</v>
      </c>
      <c r="F16" s="404">
        <f>IF(ISNUMBER(E16/B16),E16/B16," - ")</f>
        <v>389.4</v>
      </c>
      <c r="G16" s="403">
        <f>IF(ISNUMBER(IF(D_I="SI",Datos!K16,Datos!K16+Datos!AE16)),IF(D_I="SI",Datos!K16,Datos!K16+Datos!AE16)," - ")</f>
        <v>1826</v>
      </c>
      <c r="H16" s="404">
        <f>IF(ISNUMBER(G16/B16),G16/B16," - ")</f>
        <v>365.2</v>
      </c>
      <c r="I16" s="403">
        <f>IF(ISNUMBER(IF(D_I="SI",Datos!L16,Datos!L16+Datos!AF16)),IF(D_I="SI",Datos!L16,Datos!L16+Datos!AF16)," - ")</f>
        <v>2503</v>
      </c>
      <c r="J16" s="404">
        <f>IF(ISNUMBER(I16/B16),I16/B16," - ")</f>
        <v>500.6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95</v>
      </c>
      <c r="D17" s="404">
        <f>IF(ISNUMBER(C17/Datos!BH17),C17/Datos!BH17," - ")</f>
        <v>95</v>
      </c>
      <c r="E17" s="403">
        <f>IF(ISNUMBER(IF(D_I="SI",Datos!J17,Datos!J17+Datos!AD17)),IF(D_I="SI",Datos!J17,Datos!J17+Datos!AD17)," - ")</f>
        <v>177</v>
      </c>
      <c r="F17" s="404">
        <f>IF(ISNUMBER(E17/B17),E17/B17," - ")</f>
        <v>177</v>
      </c>
      <c r="G17" s="403">
        <f>IF(ISNUMBER(IF(D_I="SI",Datos!K17,Datos!K17+Datos!AE17)),IF(D_I="SI",Datos!K17,Datos!K17+Datos!AE17)," - ")</f>
        <v>175</v>
      </c>
      <c r="H17" s="404">
        <f>IF(ISNUMBER(G17/B17),G17/B17," - ")</f>
        <v>175</v>
      </c>
      <c r="I17" s="403">
        <f>IF(ISNUMBER(IF(D_I="SI",Datos!L17,Datos!L17+Datos!AF17)),IF(D_I="SI",Datos!L17,Datos!L17+Datos!AF17)," - ")</f>
        <v>97</v>
      </c>
      <c r="J17" s="404">
        <f>IF(ISNUMBER(I17/B17),I17/B17," - ")</f>
        <v>97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2477</v>
      </c>
      <c r="D18" s="850" t="str">
        <f>IF(ISNUMBER(C18/Datos!BI18),C18/Datos!BI18," - ")</f>
        <v xml:space="preserve"> - </v>
      </c>
      <c r="E18" s="849">
        <f>SUBTOTAL(9,E14:E17)</f>
        <v>2124</v>
      </c>
      <c r="F18" s="850">
        <f>IF(ISNUMBER(E18/B18),E18/B18," - ")</f>
        <v>424.8</v>
      </c>
      <c r="G18" s="849">
        <f>SUBTOTAL(9,G14:G17)</f>
        <v>2001</v>
      </c>
      <c r="H18" s="850">
        <f>IF(ISNUMBER(G18/B18),G18/B18," - ")</f>
        <v>400.2</v>
      </c>
      <c r="I18" s="849">
        <f>SUBTOTAL(9,I14:I17)</f>
        <v>2600</v>
      </c>
      <c r="J18" s="850">
        <f>IF(ISNUMBER(I18/B18),I18/B18," - ")</f>
        <v>520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8354</v>
      </c>
      <c r="D19" s="795" t="str">
        <f>IF(ISNUMBER(C19/Datos!BI19),C19/Datos!BI19," - ")</f>
        <v xml:space="preserve"> - </v>
      </c>
      <c r="E19" s="794">
        <f>SUBTOTAL(9,E9:E18)</f>
        <v>3577</v>
      </c>
      <c r="F19" s="795">
        <f>IF(ISNUMBER(E19/B19),E19/B19," - ")</f>
        <v>715.4</v>
      </c>
      <c r="G19" s="794">
        <f>SUBTOTAL(9,G9:G18)</f>
        <v>3493</v>
      </c>
      <c r="H19" s="795">
        <f>IF(ISNUMBER(G19/B19),G19/B19," - ")</f>
        <v>698.6</v>
      </c>
      <c r="I19" s="794">
        <f>SUBTOTAL(9,I9:I18)</f>
        <v>8438</v>
      </c>
      <c r="J19" s="795">
        <f>IF(ISNUMBER(I19/B19),I19/B19," - ")</f>
        <v>1687.6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vLn94qBled0SJXJeHaMxcXy67g3jZyHC1JPH+3Byglt5jcrRQ50XOxWjPk8Rwv2ZrRp2Bfn++TC3SXrPWMv9g==" saltValue="j7c64D6kDDFG11ttqvrp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VELEZ-MALAGA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2.4000000000000004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381</v>
      </c>
      <c r="AM12" s="690">
        <f>IF(ISNUMBER(Datos!N12+DatosP!N16),Datos!N12+DatosP!N16," - ")</f>
        <v>575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11.770006724949564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-3.2908959884698538E-2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218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355</v>
      </c>
      <c r="AE13" s="939">
        <f t="shared" si="1"/>
        <v>0</v>
      </c>
      <c r="AF13" s="939">
        <f t="shared" si="1"/>
        <v>4</v>
      </c>
      <c r="AG13" s="939">
        <f t="shared" si="1"/>
        <v>0</v>
      </c>
      <c r="AH13" s="939">
        <f t="shared" si="1"/>
        <v>4026</v>
      </c>
      <c r="AI13" s="939">
        <f t="shared" si="1"/>
        <v>0</v>
      </c>
      <c r="AJ13" s="939">
        <f t="shared" si="1"/>
        <v>0</v>
      </c>
      <c r="AK13" s="939">
        <f t="shared" si="1"/>
        <v>0</v>
      </c>
      <c r="AL13" s="939">
        <f t="shared" si="1"/>
        <v>385</v>
      </c>
      <c r="AM13" s="939">
        <f t="shared" si="1"/>
        <v>576</v>
      </c>
      <c r="AN13" s="939">
        <f t="shared" si="1"/>
        <v>0</v>
      </c>
      <c r="AO13" s="939">
        <f t="shared" si="1"/>
        <v>0</v>
      </c>
      <c r="AP13" s="944">
        <f>IF(ISNUMBER(((Datos!L13/Datos!K13)*11)/factor_trimestre),((Datos!L13/Datos!K13)*11)/factor_trimestre," - ")</f>
        <v>13.456742010911924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-0.83333333333333337</v>
      </c>
      <c r="AU13" s="939" t="str">
        <f>IF(ISNUMBER((DatosP!#REF!-DatosP!#REF!+DatosP!#REF!)/(DatosP!#REF!+DatosP!#REF!-DatosP!#REF!-DatosP!#REF!)),(DatosP!#REF!-DatosP!#REF!+DatosP!#REF!)/(DatosP!#REF!+DatosP!#REF!-DatosP!#REF!-DatosP!#REF!)," - ")</f>
        <v xml:space="preserve"> - </v>
      </c>
      <c r="AV13" s="945">
        <f>SUBTOTAL(9,AV9:AV12)</f>
        <v>-3.2908959884698538E-2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3.8980509745127438</v>
      </c>
      <c r="AQ18" s="944">
        <f>IF(ISNUMBER(((Datos!M18/Datos!L18)*11)/factor_trimestre),((Datos!M18/Datos!L18)*11)/factor_trimestre," - ")</f>
        <v>0.23653846153846156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-0.12844036697247707</v>
      </c>
      <c r="AW18" s="946">
        <f>IF(ISNUMBER((Datos!Q18-Datos!R18)/(Datos!S18-Datos!Q18+Datos!R18)),(Datos!Q18-Datos!R18)/(Datos!S18-Datos!Q18+Datos!R18)," - ")</f>
        <v>-2.5825571549534292E-2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218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355</v>
      </c>
      <c r="AE19" s="957">
        <f t="shared" si="5"/>
        <v>0</v>
      </c>
      <c r="AF19" s="958">
        <f t="shared" si="5"/>
        <v>4</v>
      </c>
      <c r="AG19" s="958">
        <f t="shared" si="5"/>
        <v>0</v>
      </c>
      <c r="AH19" s="958">
        <f t="shared" si="5"/>
        <v>4026</v>
      </c>
      <c r="AI19" s="958">
        <f t="shared" si="5"/>
        <v>0</v>
      </c>
      <c r="AJ19" s="959">
        <f t="shared" si="5"/>
        <v>0</v>
      </c>
      <c r="AK19" s="959">
        <f t="shared" si="5"/>
        <v>0</v>
      </c>
      <c r="AL19" s="951">
        <f t="shared" si="5"/>
        <v>385</v>
      </c>
      <c r="AM19" s="951">
        <f t="shared" si="5"/>
        <v>576</v>
      </c>
      <c r="AN19" s="951">
        <f t="shared" si="5"/>
        <v>0</v>
      </c>
      <c r="AO19" s="951">
        <f t="shared" si="5"/>
        <v>0</v>
      </c>
      <c r="AP19" s="951">
        <f>IF(ISNUMBER(((Datos!L19/Datos!K19)*11)/factor_trimestre),((Datos!L19/Datos!K19)*11)/factor_trimestre," - ")</f>
        <v>7.6324604141291124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-0.83333333333333337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-3.5346441947565546E-2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219.9825750675115</v>
      </c>
      <c r="AM21" s="736"/>
      <c r="AN21" s="736">
        <f>IF(ISNUMBER(STDEV(AN8:AN18)),STDEV(AN8:AN18),"-")</f>
        <v>0</v>
      </c>
      <c r="AO21" s="742">
        <f>IF(ISNUMBER(STDEV(AO8:AO18)),STDEV(AO8:AO18),"-")</f>
        <v>0</v>
      </c>
      <c r="AP21" s="779">
        <f>IF(ISNUMBER(STDEV(AP8:AP18)),STDEV(AP8:AP18),"-")</f>
        <v>5.541315008151547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vEYCM3GCuHFl7kxeseCaqIY9SuQhhjsk0efvW0K+Anc97DnooqfKV7BTMvT7bUUH+usnifNzBtMQrPnCTcyBw==" saltValue="I124NP6PdGDOXWAzln7J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VELEZ-MALAGA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aFUA545pxFyTGamsrBs2V6Ex1S5q9T2NzgXDKAhT9ctBlkHL13sZlbMKWY2Quc4bbzoBwbYfOPhoqUjpzMGDg==" saltValue="+LJciSZxYYv8kOb1gbM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VELEZ-MALAGA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381</v>
      </c>
      <c r="E12" s="404">
        <f t="shared" si="0"/>
        <v>76.2</v>
      </c>
      <c r="F12" s="403">
        <f>IF(ISNUMBER(Datos!N12),Datos!N12," - ")</f>
        <v>575</v>
      </c>
      <c r="G12" s="404">
        <f t="shared" si="1"/>
        <v>115</v>
      </c>
      <c r="H12" s="403">
        <f>IF(ISNUMBER(Datos!O12),Datos!O12," - ")</f>
        <v>368</v>
      </c>
      <c r="I12" s="404">
        <f t="shared" si="2"/>
        <v>73.599999999999994</v>
      </c>
      <c r="BZ12" s="1186">
        <f>Datos!EZ12</f>
        <v>0</v>
      </c>
    </row>
    <row r="13" spans="1:78" ht="14.25" thickTop="1" thickBot="1">
      <c r="A13" s="848" t="str">
        <f>Datos!A13</f>
        <v>TOTAL</v>
      </c>
      <c r="B13" s="849">
        <f>Datos!AP13</f>
        <v>5</v>
      </c>
      <c r="C13" s="851">
        <f>Datos!AR13</f>
        <v>5</v>
      </c>
      <c r="D13" s="849">
        <f>SUBTOTAL(9,D9:D12)</f>
        <v>385</v>
      </c>
      <c r="E13" s="850">
        <f t="shared" si="0"/>
        <v>77</v>
      </c>
      <c r="F13" s="849">
        <f>SUBTOTAL(9,F9:F12)</f>
        <v>576</v>
      </c>
      <c r="G13" s="850">
        <f t="shared" si="1"/>
        <v>115.2</v>
      </c>
      <c r="H13" s="849">
        <f>SUBTOTAL(9,H9:H12)</f>
        <v>368</v>
      </c>
      <c r="I13" s="850">
        <f>IF(ISNUMBER(H13/B13),H13/B13," - ")</f>
        <v>73.599999999999994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183</v>
      </c>
      <c r="E16" s="404">
        <f t="shared" si="3"/>
        <v>36.6</v>
      </c>
      <c r="F16" s="403">
        <f>IF(ISNUMBER(Datos!N16),Datos!N16," - ")</f>
        <v>1361</v>
      </c>
      <c r="G16" s="404">
        <f t="shared" si="4"/>
        <v>272.2</v>
      </c>
      <c r="H16" s="403">
        <f>IF(ISNUMBER(Datos!O16),Datos!O16," - ")</f>
        <v>28</v>
      </c>
      <c r="I16" s="404">
        <f t="shared" si="5"/>
        <v>5.6</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128</v>
      </c>
      <c r="G17" s="404">
        <f>IF(ISNUMBER(F17/B17),F17/B17," - ")</f>
        <v>128</v>
      </c>
      <c r="H17" s="403">
        <f>IF(ISNUMBER(Datos!O17),Datos!O17," - ")</f>
        <v>1</v>
      </c>
      <c r="I17" s="404">
        <f t="shared" si="5"/>
        <v>1</v>
      </c>
      <c r="BZ17" s="1186">
        <f>Datos!EZ17</f>
        <v>0</v>
      </c>
    </row>
    <row r="18" spans="1:78" ht="14.25" thickTop="1" thickBot="1">
      <c r="A18" s="848" t="str">
        <f>Datos!A18</f>
        <v>TOTAL</v>
      </c>
      <c r="B18" s="849">
        <f>Datos!AP18</f>
        <v>5</v>
      </c>
      <c r="C18" s="851">
        <f>Datos!AR18</f>
        <v>5</v>
      </c>
      <c r="D18" s="849">
        <f>SUBTOTAL(9,D15:D17)</f>
        <v>205</v>
      </c>
      <c r="E18" s="850">
        <f t="shared" si="3"/>
        <v>41</v>
      </c>
      <c r="F18" s="849">
        <f>SUBTOTAL(9,F15:F17)</f>
        <v>1489</v>
      </c>
      <c r="G18" s="850">
        <f t="shared" si="4"/>
        <v>297.8</v>
      </c>
      <c r="H18" s="849">
        <f>SUBTOTAL(9,H15:H17)</f>
        <v>29</v>
      </c>
      <c r="I18" s="850">
        <f>IF(ISNUMBER(H18/B18),H18/B18," - ")</f>
        <v>5.8</v>
      </c>
      <c r="BZ18" s="1186"/>
    </row>
    <row r="19" spans="1:78" ht="14.25" thickTop="1" thickBot="1">
      <c r="A19" s="793" t="str">
        <f>Datos!A19</f>
        <v>TOTAL JURISDICCIONES</v>
      </c>
      <c r="B19" s="794">
        <f>Datos!AP19</f>
        <v>5</v>
      </c>
      <c r="C19" s="794">
        <f>Datos!AR19</f>
        <v>5</v>
      </c>
      <c r="D19" s="794">
        <f>SUBTOTAL(9,D8:D18)</f>
        <v>590</v>
      </c>
      <c r="E19" s="795">
        <f>IF(ISNUMBER(D19/B19),D19/B19," - ")</f>
        <v>118</v>
      </c>
      <c r="F19" s="794">
        <f>SUBTOTAL(9,F8:F18)</f>
        <v>2065</v>
      </c>
      <c r="G19" s="795">
        <f>IF(ISNUMBER(F19/B19),F19/B19," - ")</f>
        <v>413</v>
      </c>
      <c r="H19" s="794">
        <f>SUBTOTAL(9,H8:H18)</f>
        <v>397</v>
      </c>
      <c r="I19" s="795">
        <f>IF(ISNUMBER(H19/B19),H19/B19," - ")</f>
        <v>79.400000000000006</v>
      </c>
    </row>
    <row r="22" spans="1:78">
      <c r="A22" s="391" t="str">
        <f>Criterios!A4</f>
        <v>Fecha Informe: 24 sep. 2025</v>
      </c>
    </row>
    <row r="27" spans="1:78">
      <c r="A27" s="414"/>
    </row>
  </sheetData>
  <sheetProtection algorithmName="SHA-512" hashValue="aSjYJ869hc52WB5lIBuiRc+W0CdAINbFCsrrZkzt86mO9kRSCGqpNWmf+gMMez//iart4JAyZcmnhwtaO1zOZw==" saltValue="aKhoctMwRJPqwa03Tq9i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VELEZ-MALAGA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218</v>
      </c>
      <c r="C12" s="434">
        <f>IF(ISNUMBER(Datos!Q12),Datos!Q12," - ")</f>
        <v>355</v>
      </c>
      <c r="D12" s="408">
        <f>IF(ISNUMBER(Datos!R12),Datos!R12," - ")</f>
        <v>4026</v>
      </c>
    </row>
    <row r="13" spans="1:4" ht="14.25" thickTop="1" thickBot="1">
      <c r="A13" s="848" t="str">
        <f>Datos!A13</f>
        <v>TOTAL</v>
      </c>
      <c r="B13" s="849">
        <f>SUBTOTAL(9,B9:B12)</f>
        <v>218</v>
      </c>
      <c r="C13" s="853">
        <f>SUBTOTAL(9,C9:C12)</f>
        <v>355</v>
      </c>
      <c r="D13" s="851">
        <f>SUBTOTAL(9,D9:D12)</f>
        <v>4026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33</v>
      </c>
      <c r="D16" s="408">
        <f>IF(ISNUMBER(Datos!R16),Datos!R16," - ")</f>
        <v>83</v>
      </c>
    </row>
    <row r="17" spans="1:4" ht="13.5" thickBot="1">
      <c r="A17" s="402" t="str">
        <f>Datos!A17</f>
        <v>Jdos. Violencia contra la mujer</v>
      </c>
      <c r="B17" s="433">
        <f>IF(ISNUMBER(Datos!P17),Datos!P17," - ")</f>
        <v>3</v>
      </c>
      <c r="C17" s="434">
        <f>IF(ISNUMBER(Datos!Q17),Datos!Q17," - ")</f>
        <v>1</v>
      </c>
      <c r="D17" s="408">
        <f>IF(ISNUMBER(Datos!R17),Datos!R17," - ")</f>
        <v>12</v>
      </c>
    </row>
    <row r="18" spans="1:4" ht="14.25" thickTop="1" thickBot="1">
      <c r="A18" s="848" t="str">
        <f>Datos!A18</f>
        <v>TOTAL</v>
      </c>
      <c r="B18" s="849">
        <f>SUBTOTAL(9,B15:B17)</f>
        <v>20</v>
      </c>
      <c r="C18" s="853">
        <f>SUBTOTAL(9,C15:C17)</f>
        <v>34</v>
      </c>
      <c r="D18" s="851">
        <f>SUBTOTAL(9,D15:D17)</f>
        <v>95</v>
      </c>
    </row>
    <row r="19" spans="1:4" ht="16.5" customHeight="1" thickTop="1" thickBot="1">
      <c r="A19" s="793" t="str">
        <f>Datos!A19</f>
        <v>TOTAL JURISDICCIONES</v>
      </c>
      <c r="B19" s="798">
        <f>SUBTOTAL(9,B8:B18)</f>
        <v>238</v>
      </c>
      <c r="C19" s="799">
        <f>SUBTOTAL(9,C8:C18)</f>
        <v>389</v>
      </c>
      <c r="D19" s="800">
        <f>SUBTOTAL(9,D8:D18)</f>
        <v>4121</v>
      </c>
    </row>
    <row r="20" spans="1:4" ht="7.5" customHeight="1"/>
    <row r="21" spans="1:4" ht="6" customHeight="1"/>
    <row r="22" spans="1:4">
      <c r="A22" s="391" t="str">
        <f>Criterios!A4</f>
        <v>Fecha Informe: 24 sep. 2025</v>
      </c>
    </row>
    <row r="27" spans="1:4">
      <c r="A27" s="414"/>
    </row>
  </sheetData>
  <sheetProtection algorithmName="SHA-512" hashValue="jMXCf8mmfk6TeuSGc9GQvIJqwfBQ4ZTckFQnxSOj59KOLQz9tiGqxgXhii/LC5b2Xbdl4I7+Ok0U9qo4R8Iv8g==" saltValue="Mo85visuacxUSAdj22IJ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VELEZ-MALAGA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-0.4</v>
      </c>
      <c r="D10" s="456">
        <f>IF(ISNUMBER((Datos!K10-Datos!U10)/Datos!U10),(Datos!K10-Datos!U10)/Datos!U10," - ")</f>
        <v>0</v>
      </c>
      <c r="E10" s="456">
        <f>IF(ISNUMBER((Datos!L10-Datos!V10)/Datos!V10),(Datos!L10-Datos!V10)/Datos!V10," - ")</f>
        <v>-0.55555555555555558</v>
      </c>
      <c r="F10" s="456">
        <f>IF(ISNUMBER((Datos!M10-Datos!W10)/Datos!W10),(Datos!M10-Datos!W10)/Datos!W10," - ")</f>
        <v>-0.2</v>
      </c>
      <c r="G10" s="457" t="str">
        <f>IF(ISNUMBER((Datos!N10-Datos!X10)/Datos!X10),(Datos!N10-Datos!X10)/Datos!X10," - ")</f>
        <v xml:space="preserve"> - </v>
      </c>
      <c r="H10" s="455">
        <f>IF(ISNUMBER(((NºAsuntos!G10/NºAsuntos!E10)-Datos!BD10)/Datos!BD10),((NºAsuntos!G10/NºAsuntos!E10)-Datos!BD10)/Datos!BD10," - ")</f>
        <v>0.66666666666666674</v>
      </c>
      <c r="I10" s="456">
        <f>IF(ISNUMBER(((NºAsuntos!I10/NºAsuntos!G10)-Datos!BE10)/Datos!BE10),((NºAsuntos!I10/NºAsuntos!G10)-Datos!BE10)/Datos!BE10," - ")</f>
        <v>-0.55555555555555558</v>
      </c>
      <c r="J10" s="461">
        <f>IF(ISNUMBER((('Resol  Asuntos'!D10/NºAsuntos!G10)-Datos!BF10)/Datos!BF10),(('Resol  Asuntos'!D10/NºAsuntos!G10)-Datos!BF10)/Datos!BF10," - ")</f>
        <v>-0.19999999999999996</v>
      </c>
      <c r="K10" s="462">
        <f>IF(ISNUMBER((((NºAsuntos!C10+NºAsuntos!E10)/NºAsuntos!G10)-Datos!BG10)/Datos!BG10),(((NºAsuntos!C10+NºAsuntos!E10)/NºAsuntos!G10)-Datos!BG10)/Datos!BG10," - ")</f>
        <v>-0.3571428571428571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0.63310152990264257</v>
      </c>
      <c r="C12" s="456">
        <f>IF(ISNUMBER(
   IF(J_V="SI",(Datos!J12-Datos!T12)/Datos!T12,(Datos!J12+Datos!Z12-(Datos!T12+Datos!AH12))/(Datos!T12+Datos!AH12))
     ),IF(J_V="SI",(Datos!J12-Datos!T12)/Datos!T12,(Datos!J12+Datos!Z12-(Datos!T12+Datos!AH12))/(Datos!T12+Datos!AH12))," - ")</f>
        <v>0.35640785781103834</v>
      </c>
      <c r="D12" s="456">
        <f>IF(ISNUMBER(
   IF(J_V="SI",(Datos!K12-Datos!U12)/Datos!U12,(Datos!K12+Datos!AA12-(Datos!U12+Datos!AI12))/(Datos!U12+Datos!AI12))
     ),IF(J_V="SI",(Datos!K12-Datos!U12)/Datos!U12,(Datos!K12+Datos!AA12-(Datos!U12+Datos!AI12))/(Datos!U12+Datos!AI12))," - ")</f>
        <v>0.52512820512820513</v>
      </c>
      <c r="E12" s="456">
        <f>IF(ISNUMBER(
   IF(J_V="SI",(Datos!L12-Datos!V12)/Datos!V12,(Datos!L12+Datos!AB12-(Datos!V12+Datos!AJ12))/(Datos!V12+Datos!AJ12))
     ),IF(J_V="SI",(Datos!L12-Datos!V12)/Datos!V12,(Datos!L12+Datos!AB12-(Datos!V12+Datos!AJ12))/(Datos!V12+Datos!AJ12))," - ")</f>
        <v>0.58145838980753595</v>
      </c>
      <c r="F12" s="456">
        <f>IF(ISNUMBER((Datos!M12-Datos!W12)/Datos!W12),(Datos!M12-Datos!W12)/Datos!W12," - ")</f>
        <v>4.3835616438356165E-2</v>
      </c>
      <c r="G12" s="457">
        <f>IF(ISNUMBER((Datos!N12-Datos!X12)/Datos!X12),(Datos!N12-Datos!X12)/Datos!X12," - ")</f>
        <v>0.96917808219178081</v>
      </c>
      <c r="H12" s="455">
        <f>IF(ISNUMBER(((NºAsuntos!G12/NºAsuntos!E12)-Datos!BD12)/Datos!BD12),((NºAsuntos!G12/NºAsuntos!E12)-Datos!BD12)/Datos!BD12," - ")</f>
        <v>0.1243876215738285</v>
      </c>
      <c r="I12" s="456">
        <f>IF(ISNUMBER(((NºAsuntos!I12/NºAsuntos!G12)-Datos!BE12)/Datos!BE12),((NºAsuntos!I12/NºAsuntos!G12)-Datos!BE12)/Datos!BE12," - ")</f>
        <v>3.6934720956521491E-2</v>
      </c>
      <c r="J12" s="461">
        <f>IF(ISNUMBER((('Resol  Asuntos'!D12/NºAsuntos!G12)-Datos!BF12)/Datos!BF12),(('Resol  Asuntos'!D12/NºAsuntos!G12)-Datos!BF12)/Datos!BF12," - ")</f>
        <v>-0.14446895929102452</v>
      </c>
      <c r="K12" s="462">
        <f>IF(ISNUMBER((((NºAsuntos!C12+NºAsuntos!E12)/NºAsuntos!G12)-Datos!BG12)/Datos!BG12),(((NºAsuntos!C12+NºAsuntos!E12)/NºAsuntos!G12)-Datos!BG12)/Datos!BG12," - ")</f>
        <v>2.921359039635682E-2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0.63068812430632626</v>
      </c>
      <c r="C13" s="855">
        <f>IF(ISNUMBER(
   IF(J_V="SI",(Datos!J13-Datos!T13)/Datos!T13,(Datos!J13+Datos!Z13-(Datos!T13+Datos!AH13))/(Datos!T13+Datos!AH13))
     ),IF(J_V="SI",(Datos!J13-Datos!T13)/Datos!T13,(Datos!J13+Datos!Z13-(Datos!T13+Datos!AH13))/(Datos!T13+Datos!AH13))," - ")</f>
        <v>0.35288640595903165</v>
      </c>
      <c r="D13" s="855">
        <f>IF(ISNUMBER(
   IF(J_V="SI",(Datos!K13-Datos!U13)/Datos!U13,(Datos!K13+Datos!AA13-(Datos!U13+Datos!AI13))/(Datos!U13+Datos!AI13))
     ),IF(J_V="SI",(Datos!K13-Datos!U13)/Datos!U13,(Datos!K13+Datos!AA13-(Datos!U13+Datos!AI13))/(Datos!U13+Datos!AI13))," - ")</f>
        <v>0.52244897959183678</v>
      </c>
      <c r="E13" s="855">
        <f>IF(ISNUMBER(
   IF(J_V="SI",(Datos!L13-Datos!V13)/Datos!V13,(Datos!L13+Datos!AB13-(Datos!V13+Datos!AJ13))/(Datos!V13+Datos!AJ13))
     ),IF(J_V="SI",(Datos!L13-Datos!V13)/Datos!V13,(Datos!L13+Datos!AB13-(Datos!V13+Datos!AJ13))/(Datos!V13+Datos!AJ13))," - ")</f>
        <v>0.57869118442401302</v>
      </c>
      <c r="F13" s="856">
        <f>IF(ISNUMBER((Datos!M13-Datos!W13)/Datos!W13),(Datos!M13-Datos!W13)/Datos!W13," - ")</f>
        <v>4.0540540540540543E-2</v>
      </c>
      <c r="G13" s="857">
        <f>IF(ISNUMBER((Datos!N13-Datos!X13)/Datos!X13),(Datos!N13-Datos!X13)/Datos!X13," - ")</f>
        <v>0.9726027397260274</v>
      </c>
      <c r="H13" s="857">
        <f>IF(ISNUMBER(((NºAsuntos!G13/NºAsuntos!E13)-Datos!BD13)/Datos!BD13),((NºAsuntos!G13/NºAsuntos!E13)-Datos!BD13)/Datos!BD13," - ")</f>
        <v>0.12533393260952003</v>
      </c>
      <c r="I13" s="857">
        <f>IF(ISNUMBER(((NºAsuntos!I13/NºAsuntos!G13)-Datos!BE13)/Datos!BE13),((NºAsuntos!I13/NºAsuntos!G13)-Datos!BE13)/Datos!BE13," - ")</f>
        <v>3.6941930787890473E-2</v>
      </c>
      <c r="J13" s="857">
        <f>IF(ISNUMBER((('Resol  Asuntos'!D13/NºAsuntos!G13)-Datos!BF13)/Datos!BF13),(('Resol  Asuntos'!D13/NºAsuntos!G13)-Datos!BF13)/Datos!BF13," - ")</f>
        <v>-0.14854532816999311</v>
      </c>
      <c r="K13" s="857">
        <f>IF(ISNUMBER((((NºAsuntos!C13+NºAsuntos!E13)/NºAsuntos!G13)-Datos!BG13)/Datos!BG13),(((NºAsuntos!C13+NºAsuntos!E13)/NºAsuntos!G13)-Datos!BG13)/Datos!BG13," - ")</f>
        <v>2.9202920062765918E-2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6.339285714285714E-2</v>
      </c>
      <c r="C16" s="456">
        <f>IF(ISNUMBER(
   IF(D_I="SI",(Datos!J16-Datos!T16)/Datos!T16,(Datos!J16+Datos!AD16-(Datos!T16+Datos!AL16))/(Datos!T16+Datos!AL16))
     ),IF(D_I="SI",(Datos!J16-Datos!T16)/Datos!T16,(Datos!J16+Datos!AD16-(Datos!T16+Datos!AL16))/(Datos!T16+Datos!AL16))," - ")</f>
        <v>-8.2901554404145081E-2</v>
      </c>
      <c r="D16" s="456">
        <f>IF(ISNUMBER(
   IF(D_I="SI",(Datos!K16-Datos!U16)/Datos!U16,(Datos!K16+Datos!AE16-(Datos!U16+Datos!AM16))/(Datos!U16+Datos!AM16))
     ),IF(D_I="SI",(Datos!K16-Datos!U16)/Datos!U16,(Datos!K16+Datos!AE16-(Datos!U16+Datos!AM16))/(Datos!U16+Datos!AM16))," - ")</f>
        <v>0.26981919332406118</v>
      </c>
      <c r="E16" s="456">
        <f>IF(ISNUMBER(
   IF(D_I="SI",(Datos!L16-Datos!V16)/Datos!V16,(Datos!L16+Datos!AF16-(Datos!V16+Datos!AN16))/(Datos!V16+Datos!AN16))
     ),IF(D_I="SI",(Datos!L16-Datos!V16)/Datos!V16,(Datos!L16+Datos!AF16-(Datos!V16+Datos!AN16))/(Datos!V16+Datos!AN16))," - ")</f>
        <v>-0.14427350427350427</v>
      </c>
      <c r="F16" s="456">
        <f>IF(ISNUMBER((Datos!M16-Datos!W16)/Datos!W16),(Datos!M16-Datos!W16)/Datos!W16," - ")</f>
        <v>0.15822784810126583</v>
      </c>
      <c r="G16" s="457">
        <f>IF(ISNUMBER((Datos!N16-Datos!X16)/Datos!X16),(Datos!N16-Datos!X16)/Datos!X16," - ")</f>
        <v>0.35964035964035962</v>
      </c>
      <c r="H16" s="455">
        <f>IF(ISNUMBER(((NºAsuntos!G16/NºAsuntos!E16)-Datos!BD16)/Datos!BD16),((NºAsuntos!G16/NºAsuntos!E16)-Datos!BD16)/Datos!BD16," - ")</f>
        <v>0.3846051091047672</v>
      </c>
      <c r="I16" s="456">
        <f>IF(ISNUMBER(((NºAsuntos!I16/NºAsuntos!G16)-Datos!BE16)/Datos!BE16),((NºAsuntos!I16/NºAsuntos!G16)-Datos!BE16)/Datos!BE16," - ")</f>
        <v>-0.32610366875427121</v>
      </c>
      <c r="J16" s="461">
        <f>IF(ISNUMBER((('Resol  Asuntos'!D16/NºAsuntos!G16)-Datos!BF16)/Datos!BF16),(('Resol  Asuntos'!D16/NºAsuntos!G16)-Datos!BF16)/Datos!BF16," - ")</f>
        <v>-8.7879712174359137E-2</v>
      </c>
      <c r="K16" s="462">
        <f>IF(ISNUMBER((((NºAsuntos!C16+NºAsuntos!E16)/NºAsuntos!G16)-Datos!BG16)/Datos!BG16),(((NºAsuntos!C16+NºAsuntos!E16)/NºAsuntos!G16)-Datos!BG16)/Datos!BG16," - ")</f>
        <v>-0.21862324801885016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0.55737704918032782</v>
      </c>
      <c r="C17" s="456">
        <f>IF(ISNUMBER(
   IF(D_I="SI",(Datos!J17-Datos!T17)/Datos!T17,(Datos!J17+Datos!AD17-(Datos!T17+Datos!AL17))/(Datos!T17+Datos!AL17))
     ),IF(D_I="SI",(Datos!J17-Datos!T17)/Datos!T17,(Datos!J17+Datos!AD17-(Datos!T17+Datos!AL17))/(Datos!T17+Datos!AL17))," - ")</f>
        <v>0.73529411764705888</v>
      </c>
      <c r="D17" s="456">
        <f>IF(ISNUMBER(
   IF(D_I="SI",(Datos!K17-Datos!U17)/Datos!U17,(Datos!K17+Datos!AE17-(Datos!U17+Datos!AM17))/(Datos!U17+Datos!AM17))
     ),IF(D_I="SI",(Datos!K17-Datos!U17)/Datos!U17,(Datos!K17+Datos!AE17-(Datos!U17+Datos!AM17))/(Datos!U17+Datos!AM17))," - ")</f>
        <v>1.1084337349397591</v>
      </c>
      <c r="E17" s="456">
        <f>IF(ISNUMBER(
   IF(D_I="SI",(Datos!L17-Datos!V17)/Datos!V17,(Datos!L17+Datos!AF17-(Datos!V17+Datos!AN17))/(Datos!V17+Datos!AN17))
     ),IF(D_I="SI",(Datos!L17-Datos!V17)/Datos!V17,(Datos!L17+Datos!AF17-(Datos!V17+Datos!AN17))/(Datos!V17+Datos!AN17))," - ")</f>
        <v>0.21249999999999999</v>
      </c>
      <c r="F17" s="456">
        <f>IF(ISNUMBER((Datos!M17-Datos!W17)/Datos!W17),(Datos!M17-Datos!W17)/Datos!W17," - ")</f>
        <v>-0.33333333333333331</v>
      </c>
      <c r="G17" s="457">
        <f>IF(ISNUMBER((Datos!N17-Datos!X17)/Datos!X17),(Datos!N17-Datos!X17)/Datos!X17," - ")</f>
        <v>1.3703703703703705</v>
      </c>
      <c r="H17" s="455">
        <f>IF(ISNUMBER(((NºAsuntos!G17/NºAsuntos!E17)-Datos!BD17)/Datos!BD17),((NºAsuntos!G17/NºAsuntos!E17)-Datos!BD17)/Datos!BD17," - ")</f>
        <v>0.21502960996528486</v>
      </c>
      <c r="I17" s="456">
        <f>IF(ISNUMBER(((NºAsuntos!I17/NºAsuntos!G17)-Datos!BE17)/Datos!BE17),((NºAsuntos!I17/NºAsuntos!G17)-Datos!BE17)/Datos!BE17," - ")</f>
        <v>-0.42492857142857143</v>
      </c>
      <c r="J17" s="461">
        <f>IF(ISNUMBER((('Resol  Asuntos'!D17/NºAsuntos!G17)-Datos!BF17)/Datos!BF17),(('Resol  Asuntos'!D17/NºAsuntos!G17)-Datos!BF17)/Datos!BF17," - ")</f>
        <v>-0.68380952380952376</v>
      </c>
      <c r="K17" s="462">
        <f>IF(ISNUMBER((((NºAsuntos!C17+NºAsuntos!E17)/NºAsuntos!G17)-Datos!BG17)/Datos!BG17),(((NºAsuntos!C17+NºAsuntos!E17)/NºAsuntos!G17)-Datos!BG17)/Datos!BG17," - ")</f>
        <v>-0.20855390008764244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7.6488483268144281E-2</v>
      </c>
      <c r="C18" s="855">
        <f>IF(ISNUMBER(
   IF(Criterios!B14="SI",(Datos!J18-Datos!T18)/Datos!T18,(Datos!J18+Datos!AD18-(Datos!T18+Datos!AL18))/(Datos!T18+Datos!AL18))
     ),IF(Criterios!B14="SI",(Datos!J18-Datos!T18)/Datos!T18,(Datos!J18+Datos!AD18-(Datos!T18+Datos!AL18))/(Datos!T18+Datos!AL18))," - ")</f>
        <v>-4.5393258426966294E-2</v>
      </c>
      <c r="D18" s="855">
        <f>IF(ISNUMBER(
   IF(Criterios!B14="SI",(Datos!K18-Datos!U18)/Datos!U18,(Datos!K18+Datos!AE18-(Datos!U18+Datos!AM18))/(Datos!U18+Datos!AM18))
     ),IF(Criterios!B14="SI",(Datos!K18-Datos!U18)/Datos!U18,(Datos!K18+Datos!AE18-(Datos!U18+Datos!AM18))/(Datos!U18+Datos!AM18))," - ")</f>
        <v>0.31558185404339251</v>
      </c>
      <c r="E18" s="855">
        <f>IF(ISNUMBER(
   IF(Criterios!B14="SI",(Datos!L18-Datos!V18)/Datos!V18,(Datos!L18+Datos!AF18-(Datos!V18+Datos!AN18))/(Datos!V18+Datos!AN18))
     ),IF(Criterios!B14="SI",(Datos!L18-Datos!V18)/Datos!V18,(Datos!L18+Datos!AF18-(Datos!V18+Datos!AN18))/(Datos!V18+Datos!AN18))," - ")</f>
        <v>-0.13477537437603992</v>
      </c>
      <c r="F18" s="856">
        <f>IF(ISNUMBER((Datos!M18-Datos!W18)/Datos!W18),(Datos!M18-Datos!W18)/Datos!W18," - ")</f>
        <v>7.3298429319371722E-2</v>
      </c>
      <c r="G18" s="857">
        <f>IF(ISNUMBER((Datos!N18-Datos!X18)/Datos!X18),(Datos!N18-Datos!X18)/Datos!X18," - ")</f>
        <v>0.41137440758293836</v>
      </c>
      <c r="H18" s="857">
        <f>IF(ISNUMBER(((NºAsuntos!G18/NºAsuntos!E18)-Datos!BD18)/Datos!BD18),((NºAsuntos!G18/NºAsuntos!E18)-Datos!BD18)/Datos!BD18," - ")</f>
        <v>0.37814012488067245</v>
      </c>
      <c r="I18" s="857">
        <f>IF(ISNUMBER(((NºAsuntos!I18/NºAsuntos!G18)-Datos!BE18)/Datos!BE18),((NºAsuntos!I18/NºAsuntos!G18)-Datos!BE18)/Datos!BE18," - ")</f>
        <v>-0.34232550945824919</v>
      </c>
      <c r="J18" s="857">
        <f>IF(ISNUMBER((('Resol  Asuntos'!D18/NºAsuntos!G18)-Datos!BF18)/Datos!BF18),(('Resol  Asuntos'!D18/NºAsuntos!G18)-Datos!BF18)/Datos!BF18," - ")</f>
        <v>-0.18416446227148206</v>
      </c>
      <c r="K18" s="857">
        <f>IF(ISNUMBER((((NºAsuntos!C18+NºAsuntos!E18)/NºAsuntos!G18)-Datos!BG18)/Datos!BG18),(((NºAsuntos!C18+NºAsuntos!E18)/NºAsuntos!G18)-Datos!BG18)/Datos!BG18," - ")</f>
        <v>-0.22728417055281458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0.41473327688399664</v>
      </c>
      <c r="C19" s="802">
        <f>IF(ISNUMBER(
   IF(J_V="SI",(Datos!J19-Datos!T19)/Datos!T19,(Datos!J19+Datos!Z19-(Datos!T19+Datos!AH19))/(Datos!T19+Datos!AH19))
     ),IF(J_V="SI",(Datos!J19-Datos!T19)/Datos!T19,(Datos!J19+Datos!Z19-(Datos!T19+Datos!AH19))/(Datos!T19+Datos!AH19))," - ")</f>
        <v>8.4267959987875118E-2</v>
      </c>
      <c r="D19" s="802">
        <f>IF(ISNUMBER(
   IF(J_V="SI",(Datos!K19-Datos!U19)/Datos!U19,(Datos!K19+Datos!AA19-(Datos!U19+Datos!AI19))/(Datos!U19+Datos!AI19))
     ),IF(J_V="SI",(Datos!K19-Datos!U19)/Datos!U19,(Datos!K19+Datos!AA19-(Datos!U19+Datos!AI19))/(Datos!U19+Datos!AI19))," - ")</f>
        <v>0.39664134346261498</v>
      </c>
      <c r="E19" s="802">
        <f>IF(ISNUMBER(
   IF(J_V="SI",(Datos!L19-Datos!V19)/Datos!V19,(Datos!L19+Datos!AB19-(Datos!V19+Datos!AJ19))/(Datos!V19+Datos!AJ19))
     ),IF(J_V="SI",(Datos!L19-Datos!V19)/Datos!V19,(Datos!L19+Datos!AB19-(Datos!V19+Datos!AJ19))/(Datos!V19+Datos!AJ19))," - ")</f>
        <v>0.25883932567507084</v>
      </c>
      <c r="F19" s="803">
        <f>IF(ISNUMBER((Datos!M19-Datos!W19)/Datos!W19),(Datos!M19-Datos!W19)/Datos!W19," - ")</f>
        <v>5.1693404634581108E-2</v>
      </c>
      <c r="G19" s="804">
        <f>IF(ISNUMBER((Datos!N19-Datos!X19)/Datos!X19),(Datos!N19-Datos!X19)/Datos!X19," - ")</f>
        <v>0.53303637713437269</v>
      </c>
      <c r="H19" s="805">
        <f>IF(ISNUMBER((Tasas!B19-Datos!BD19)/Datos!BD19),(Tasas!B19-Datos!BD19)/Datos!BD19," - ")</f>
        <v>0.28809611184880263</v>
      </c>
      <c r="I19" s="806">
        <f>IF(ISNUMBER((Tasas!C19-Datos!BE19)/Datos!BE19),(Tasas!C19-Datos!BE19)/Datos!BE19," - ")</f>
        <v>-9.8666718146764212E-2</v>
      </c>
      <c r="J19" s="807">
        <f>IF(ISNUMBER((Tasas!D19-Datos!BF19)/Datos!BF19),(Tasas!D19-Datos!BF19)/Datos!BF19," - ")</f>
        <v>-0.13434010878900665</v>
      </c>
      <c r="K19" s="807">
        <f>IF(ISNUMBER((Tasas!E19-Datos!BG19)/Datos!BG19),(Tasas!E19-Datos!BG19)/Datos!BG19," - ")</f>
        <v>-7.1856042127092623E-2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O3l9PjLiwb/tWVkFvKkK1p/HmW1kJfdpW7Ljyolu5AqXXLqniMC3o/FVywdlCZ6E6T6uHr6HHjvYYclcENKUA==" saltValue="/MCnKfYRxs0bjfRCQW08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VELEZ-MALAGA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1.6666666666666667</v>
      </c>
      <c r="C10" s="443">
        <f>IF(ISNUMBER(NºAsuntos!I10/NºAsuntos!G10),NºAsuntos!I10/NºAsuntos!G10," - ")</f>
        <v>0.8</v>
      </c>
      <c r="D10" s="444">
        <f>IF(ISNUMBER('Resol  Asuntos'!D10/NºAsuntos!G10),'Resol  Asuntos'!D10/NºAsuntos!G10," - ")</f>
        <v>0.8</v>
      </c>
      <c r="E10" s="445">
        <f>IF(ISNUMBER((NºAsuntos!C10+NºAsuntos!E10)/NºAsuntos!G10),(NºAsuntos!C10+NºAsuntos!E10)/NºAsuntos!G10," - ")</f>
        <v>1.8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1.0255172413793103</v>
      </c>
      <c r="C12" s="443">
        <f>IF(ISNUMBER(NºAsuntos!I12/NºAsuntos!G12),NºAsuntos!I12/NºAsuntos!G12," - ")</f>
        <v>3.9233355749831875</v>
      </c>
      <c r="D12" s="444">
        <f>IF(ISNUMBER('Resol  Asuntos'!D12/NºAsuntos!G12),'Resol  Asuntos'!D12/NºAsuntos!G12," - ")</f>
        <v>0.25622057834566242</v>
      </c>
      <c r="E12" s="445">
        <f>IF(ISNUMBER((NºAsuntos!C12+NºAsuntos!E12)/NºAsuntos!G12),(NºAsuntos!C12+NºAsuntos!E12)/NºAsuntos!G12," - ")</f>
        <v>4.923335574983188</v>
      </c>
      <c r="G12" s="463"/>
    </row>
    <row r="13" spans="1:7" ht="14.25" thickTop="1" thickBot="1">
      <c r="A13" s="848" t="str">
        <f>Datos!A13</f>
        <v>TOTAL</v>
      </c>
      <c r="B13" s="858">
        <f>IF(ISNUMBER(NºAsuntos!G13/NºAsuntos!E13),NºAsuntos!G13/NºAsuntos!E13," - ")</f>
        <v>1.0268410185822436</v>
      </c>
      <c r="C13" s="859">
        <f>IF(ISNUMBER(NºAsuntos!I13/NºAsuntos!G13),NºAsuntos!I13/NºAsuntos!G13," - ")</f>
        <v>3.9128686327077746</v>
      </c>
      <c r="D13" s="860">
        <f>IF(ISNUMBER('Resol  Asuntos'!D13/NºAsuntos!G13),'Resol  Asuntos'!D13/NºAsuntos!G13," - ")</f>
        <v>0.25804289544235925</v>
      </c>
      <c r="E13" s="861">
        <f>IF(ISNUMBER((NºAsuntos!C13+NºAsuntos!E13)/NºAsuntos!G13),(NºAsuntos!C13+NºAsuntos!E13)/NºAsuntos!G13," - ")</f>
        <v>4.9128686327077746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0.93785310734463279</v>
      </c>
      <c r="C16" s="443">
        <f>IF(ISNUMBER(NºAsuntos!I16/NºAsuntos!G16),NºAsuntos!I16/NºAsuntos!G16," - ")</f>
        <v>1.3707557502738226</v>
      </c>
      <c r="D16" s="444">
        <f>IF(ISNUMBER('Resol  Asuntos'!D16/NºAsuntos!G16),'Resol  Asuntos'!D16/NºAsuntos!G16," - ")</f>
        <v>0.10021905805038335</v>
      </c>
      <c r="E16" s="445">
        <f>IF(ISNUMBER((NºAsuntos!C16+NºAsuntos!E16)/NºAsuntos!G16),(NºAsuntos!C16+NºAsuntos!E16)/NºAsuntos!G16," - ")</f>
        <v>2.3707557502738226</v>
      </c>
      <c r="G16" s="463"/>
    </row>
    <row r="17" spans="1:7" ht="13.5" thickBot="1">
      <c r="A17" s="402" t="str">
        <f>Datos!A17</f>
        <v>Jdos. Violencia contra la mujer</v>
      </c>
      <c r="B17" s="442">
        <f>IF(ISNUMBER(NºAsuntos!G17/NºAsuntos!E17),NºAsuntos!G17/NºAsuntos!E17," - ")</f>
        <v>0.98870056497175141</v>
      </c>
      <c r="C17" s="443">
        <f>IF(ISNUMBER(NºAsuntos!I17/NºAsuntos!G17),NºAsuntos!I17/NºAsuntos!G17," - ")</f>
        <v>0.55428571428571427</v>
      </c>
      <c r="D17" s="444">
        <f>IF(ISNUMBER('Resol  Asuntos'!D17/NºAsuntos!G17),'Resol  Asuntos'!D17/NºAsuntos!G17," - ")</f>
        <v>0.12571428571428572</v>
      </c>
      <c r="E17" s="445">
        <f>IF(ISNUMBER((NºAsuntos!C17+NºAsuntos!E17)/NºAsuntos!G17),(NºAsuntos!C17+NºAsuntos!E17)/NºAsuntos!G17," - ")</f>
        <v>1.5542857142857143</v>
      </c>
      <c r="G17" s="463"/>
    </row>
    <row r="18" spans="1:7" ht="14.25" thickTop="1" thickBot="1">
      <c r="A18" s="848" t="str">
        <f>Datos!A18</f>
        <v>TOTAL</v>
      </c>
      <c r="B18" s="858">
        <f>IF(ISNUMBER(NºAsuntos!G18/NºAsuntos!E18),NºAsuntos!G18/NºAsuntos!E18," - ")</f>
        <v>0.94209039548022599</v>
      </c>
      <c r="C18" s="859">
        <f>IF(ISNUMBER(NºAsuntos!I18/NºAsuntos!G18),NºAsuntos!I18/NºAsuntos!G18," - ")</f>
        <v>1.2993503248375813</v>
      </c>
      <c r="D18" s="862">
        <f>IF(ISNUMBER('Resol  Asuntos'!D18/NºAsuntos!G18),'Resol  Asuntos'!D18/NºAsuntos!G18," - ")</f>
        <v>0.1024487756121939</v>
      </c>
      <c r="E18" s="861">
        <f>IF(ISNUMBER((NºAsuntos!C18+NºAsuntos!E18)/NºAsuntos!G18),(NºAsuntos!C18+NºAsuntos!E18)/NºAsuntos!G18," - ")</f>
        <v>2.2993503248375813</v>
      </c>
      <c r="G18" s="463"/>
    </row>
    <row r="19" spans="1:7" ht="15.75" customHeight="1" thickTop="1" thickBot="1">
      <c r="A19" s="793" t="str">
        <f>Datos!A19</f>
        <v>TOTAL JURISDICCIONES</v>
      </c>
      <c r="B19" s="808">
        <f>IF(ISNUMBER(NºAsuntos!G19/NºAsuntos!E19),NºAsuntos!G19/NºAsuntos!E19," - ")</f>
        <v>0.97651663405088063</v>
      </c>
      <c r="C19" s="809">
        <f>IF(ISNUMBER(NºAsuntos!I19/NºAsuntos!G19),NºAsuntos!I19/NºAsuntos!G19," - ")</f>
        <v>2.4156885198969369</v>
      </c>
      <c r="D19" s="810">
        <f>IF(ISNUMBER('Resol  Asuntos'!D19/NºAsuntos!G19),'Resol  Asuntos'!D19/NºAsuntos!G19," - ")</f>
        <v>0.16890924706555968</v>
      </c>
      <c r="E19" s="811">
        <f>IF(ISNUMBER((NºAsuntos!C19+NºAsuntos!E19)/NºAsuntos!G19),(NºAsuntos!C19+NºAsuntos!E19)/NºAsuntos!G19," - ")</f>
        <v>3.4156885198969369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wU6/jXfsjvpIUJzs3x6Y/GdkGTz4H00rAph60Q1ul3lw+2RBHB+cAqkhP67pdBeNf/Q8olHlrhRNS74Gi6o+A==" saltValue="SqZu3+94R7V8g3g+iIZe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VELEZ-MALAGA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1.6666666666666667</v>
      </c>
      <c r="AM10" s="260">
        <f>IF(ISNUMBER(((NºAsuntos!I10/NºAsuntos!G10)*11)/factor_trimestre),((NºAsuntos!I10/NºAsuntos!G10)*11)/factor_trimestre," - ")</f>
        <v>2.4000000000000004</v>
      </c>
      <c r="AN10" s="244">
        <f>IF(ISNUMBER('Resol  Asuntos'!D10/NºAsuntos!G10),'Resol  Asuntos'!D10/NºAsuntos!G10," - ")</f>
        <v>0.8</v>
      </c>
      <c r="AO10" s="245">
        <f>IF(ISNUMBER((NºAsuntos!C10+NºAsuntos!E10)/NºAsuntos!G10),(NºAsuntos!C10+NºAsuntos!E10)/NºAsuntos!G10," - ")</f>
        <v>1.8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355</v>
      </c>
      <c r="Y12" s="334">
        <f t="shared" si="0"/>
        <v>355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381</v>
      </c>
      <c r="AJ12" s="229" t="str">
        <f>IF(ISNUMBER(Datos!BW12),Datos!BW12," - ")</f>
        <v xml:space="preserve"> - </v>
      </c>
      <c r="AK12" s="228" t="str">
        <f>IF(ISNUMBER(Datos!BX12),Datos!BX12," - ")</f>
        <v xml:space="preserve"> - </v>
      </c>
      <c r="AL12" s="243">
        <f>IF(ISNUMBER(NºAsuntos!G12/NºAsuntos!E12),NºAsuntos!G12/NºAsuntos!E12," - ")</f>
        <v>1.0255172413793103</v>
      </c>
      <c r="AM12" s="260">
        <f>IF(ISNUMBER(((NºAsuntos!I12/NºAsuntos!G12)*11)/factor_trimestre),((NºAsuntos!I12/NºAsuntos!G12)*11)/factor_trimestre," - ")</f>
        <v>11.770006724949564</v>
      </c>
      <c r="AN12" s="244">
        <f>IF(ISNUMBER('Resol  Asuntos'!D12/NºAsuntos!G12),'Resol  Asuntos'!D12/NºAsuntos!G12," - ")</f>
        <v>0.25622057834566242</v>
      </c>
      <c r="AO12" s="245">
        <f>IF(ISNUMBER((NºAsuntos!C12+NºAsuntos!E12)/NºAsuntos!G12),(NºAsuntos!C12+NºAsuntos!E12)/NºAsuntos!G12," - ")</f>
        <v>4.923335574983188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6</v>
      </c>
      <c r="G13" s="866">
        <f t="shared" si="3"/>
        <v>6</v>
      </c>
      <c r="H13" s="865">
        <f t="shared" si="3"/>
        <v>0</v>
      </c>
      <c r="I13" s="867">
        <f t="shared" si="3"/>
        <v>0</v>
      </c>
      <c r="J13" s="867">
        <f t="shared" si="3"/>
        <v>0</v>
      </c>
      <c r="K13" s="867">
        <f t="shared" si="3"/>
        <v>0</v>
      </c>
      <c r="L13" s="867">
        <f t="shared" si="3"/>
        <v>218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355</v>
      </c>
      <c r="Y13" s="868">
        <f t="shared" si="4"/>
        <v>360</v>
      </c>
      <c r="Z13" s="868">
        <f t="shared" si="4"/>
        <v>0</v>
      </c>
      <c r="AA13" s="868">
        <f t="shared" si="4"/>
        <v>4</v>
      </c>
      <c r="AB13" s="868">
        <f t="shared" si="4"/>
        <v>4026</v>
      </c>
      <c r="AC13" s="868">
        <f t="shared" si="4"/>
        <v>4</v>
      </c>
      <c r="AD13" s="868">
        <f t="shared" si="4"/>
        <v>0</v>
      </c>
      <c r="AE13" s="872">
        <f t="shared" si="4"/>
        <v>0</v>
      </c>
      <c r="AF13" s="865">
        <f t="shared" si="4"/>
        <v>0</v>
      </c>
      <c r="AG13" s="873">
        <f t="shared" si="4"/>
        <v>0</v>
      </c>
      <c r="AH13" s="870">
        <f t="shared" si="4"/>
        <v>0</v>
      </c>
      <c r="AI13" s="865">
        <f t="shared" si="4"/>
        <v>385</v>
      </c>
      <c r="AJ13" s="867">
        <f t="shared" si="4"/>
        <v>0</v>
      </c>
      <c r="AK13" s="870">
        <f>SUBTOTAL(9,AK9:AK12)</f>
        <v>0</v>
      </c>
      <c r="AL13" s="874">
        <f>IF(ISNUMBER(NºAsuntos!G13/NºAsuntos!E13),NºAsuntos!G13/NºAsuntos!E13," - ")</f>
        <v>1.0268410185822436</v>
      </c>
      <c r="AM13" s="874">
        <f>IF(ISNUMBER(((NºAsuntos!I13/NºAsuntos!G13)*11)/factor_trimestre),((NºAsuntos!I13/NºAsuntos!G13)*11)/factor_trimestre," - ")</f>
        <v>11.738605898123325</v>
      </c>
      <c r="AN13" s="875">
        <f>IF(ISNUMBER('Resol  Asuntos'!D13/NºAsuntos!G13),'Resol  Asuntos'!D13/NºAsuntos!G13," - ")</f>
        <v>0.25804289544235925</v>
      </c>
      <c r="AO13" s="876">
        <f>IF(ISNUMBER((NºAsuntos!C13+NºAsuntos!E13)/NºAsuntos!G13),(NºAsuntos!C13+NºAsuntos!E13)/NºAsuntos!G13," - ")</f>
        <v>4.9128686327077746</v>
      </c>
      <c r="AP13" s="877" t="str">
        <f t="shared" si="2"/>
        <v xml:space="preserve"> - </v>
      </c>
      <c r="AQ13" s="877">
        <f>IF(ISNUMBER((H13-W13+K13)/(F13)),(H13-W13+K13)/(F13)," - ")</f>
        <v>-0.83333333333333337</v>
      </c>
      <c r="AR13" s="878">
        <f>IF(ISNUMBER((Datos!P13-Datos!Q13)/(Datos!R13-Datos!P13+Datos!Q13)),(Datos!P13-Datos!Q13)/(Datos!R13-Datos!P13+Datos!Q13)," - ")</f>
        <v>-3.2908959884698538E-2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2382</v>
      </c>
      <c r="G16" s="333">
        <f>IF(ISNUMBER(IF(D_I="SI",Datos!I16,Datos!I16+Datos!AC16)),IF(D_I="SI",Datos!I16,Datos!I16+Datos!AC16)," - ")</f>
        <v>2382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1826</v>
      </c>
      <c r="X16" s="226">
        <f>IF(ISNUMBER(Datos!Q16),Datos!Q16," - ")</f>
        <v>33</v>
      </c>
      <c r="Y16" s="334">
        <f t="shared" ref="Y16:Y17" si="7">SUM(W16:X16)</f>
        <v>1859</v>
      </c>
      <c r="Z16" s="335" t="str">
        <f>IF(ISNUMBER(Datos!CC16),Datos!CC16," - ")</f>
        <v xml:space="preserve"> - </v>
      </c>
      <c r="AA16" s="332">
        <f>IF(ISNUMBER(IF(D_I="SI",Datos!L16,Datos!L16+Datos!AF16)),IF(D_I="SI",Datos!L16,Datos!L16+Datos!AF16)," - ")</f>
        <v>2503</v>
      </c>
      <c r="AB16" s="334">
        <f>IF(ISNUMBER(Datos!R16),Datos!R16," - ")</f>
        <v>83</v>
      </c>
      <c r="AC16" s="334">
        <f t="shared" si="6"/>
        <v>2586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183</v>
      </c>
      <c r="AJ16" s="231" t="str">
        <f>IF(ISNUMBER(Datos!BW16),Datos!BW16," - ")</f>
        <v xml:space="preserve"> - </v>
      </c>
      <c r="AK16" s="232" t="str">
        <f>IF(ISNUMBER(Datos!BX16),Datos!BX16," - ")</f>
        <v xml:space="preserve"> - </v>
      </c>
      <c r="AL16" s="243">
        <f>IF(ISNUMBER(NºAsuntos!G16/NºAsuntos!E16),NºAsuntos!G16/NºAsuntos!E16," - ")</f>
        <v>0.93785310734463279</v>
      </c>
      <c r="AM16" s="260">
        <f>IF(ISNUMBER(((NºAsuntos!I16/NºAsuntos!G16)*11)/factor_trimestre),((NºAsuntos!I16/NºAsuntos!G16)*11)/factor_trimestre," - ")</f>
        <v>4.1122672508214677</v>
      </c>
      <c r="AN16" s="244">
        <f>IF(ISNUMBER('Resol  Asuntos'!D16/NºAsuntos!G16),'Resol  Asuntos'!D16/NºAsuntos!G16," - ")</f>
        <v>0.10021905805038335</v>
      </c>
      <c r="AO16" s="245">
        <f>IF(ISNUMBER((NºAsuntos!C16+NºAsuntos!E16)/NºAsuntos!G16),(NºAsuntos!C16+NºAsuntos!E16)/NºAsuntos!G16," - ")</f>
        <v>2.3707557502738226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175</v>
      </c>
      <c r="X17" s="226">
        <f>IF(ISNUMBER(Datos!Q17),Datos!Q17," - ")</f>
        <v>1</v>
      </c>
      <c r="Y17" s="334">
        <f t="shared" si="7"/>
        <v>176</v>
      </c>
      <c r="Z17" s="335" t="str">
        <f>IF(ISNUMBER(Datos!CC17),Datos!CC17," - ")</f>
        <v xml:space="preserve"> - </v>
      </c>
      <c r="AA17" s="332">
        <f>IF(ISNUMBER(Datos!L17),Datos!L17,"-")</f>
        <v>97</v>
      </c>
      <c r="AB17" s="334">
        <f>IF(ISNUMBER(Datos!R17),Datos!R17," - ")</f>
        <v>12</v>
      </c>
      <c r="AC17" s="334">
        <f t="shared" si="6"/>
        <v>109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0.98870056497175141</v>
      </c>
      <c r="AM17" s="260">
        <f>IF(ISNUMBER(((NºAsuntos!I17/NºAsuntos!G17)*11)/factor_trimestre),((NºAsuntos!I17/NºAsuntos!G17)*11)/factor_trimestre," - ")</f>
        <v>1.6628571428571428</v>
      </c>
      <c r="AN17" s="244">
        <f>IF(ISNUMBER('Resol  Asuntos'!D17/NºAsuntos!G17),'Resol  Asuntos'!D17/NºAsuntos!G17," - ")</f>
        <v>0.12571428571428572</v>
      </c>
      <c r="AO17" s="245">
        <f>IF(ISNUMBER((NºAsuntos!C17+NºAsuntos!E17)/NºAsuntos!G17),(NºAsuntos!C17+NºAsuntos!E17)/NºAsuntos!G17," - ")</f>
        <v>1.5542857142857143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2382</v>
      </c>
      <c r="G18" s="866">
        <f>SUBTOTAL(9,G15:G17)</f>
        <v>2477</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2001</v>
      </c>
      <c r="X18" s="867">
        <f t="shared" si="11"/>
        <v>34</v>
      </c>
      <c r="Y18" s="868">
        <f t="shared" si="11"/>
        <v>2035</v>
      </c>
      <c r="Z18" s="868">
        <f t="shared" si="11"/>
        <v>0</v>
      </c>
      <c r="AA18" s="868">
        <f t="shared" si="11"/>
        <v>2600</v>
      </c>
      <c r="AB18" s="868">
        <f t="shared" si="11"/>
        <v>95</v>
      </c>
      <c r="AC18" s="868">
        <f t="shared" si="11"/>
        <v>2695</v>
      </c>
      <c r="AD18" s="868">
        <f t="shared" si="11"/>
        <v>0</v>
      </c>
      <c r="AE18" s="872">
        <f t="shared" si="11"/>
        <v>0</v>
      </c>
      <c r="AF18" s="865">
        <f t="shared" si="11"/>
        <v>0</v>
      </c>
      <c r="AG18" s="873">
        <f t="shared" si="11"/>
        <v>0</v>
      </c>
      <c r="AH18" s="870">
        <f t="shared" si="11"/>
        <v>0</v>
      </c>
      <c r="AI18" s="865">
        <f t="shared" si="11"/>
        <v>205</v>
      </c>
      <c r="AJ18" s="867">
        <f t="shared" si="11"/>
        <v>0</v>
      </c>
      <c r="AK18" s="870">
        <f t="shared" si="11"/>
        <v>0</v>
      </c>
      <c r="AL18" s="874">
        <f>IF(ISNUMBER(NºAsuntos!G18/NºAsuntos!E18),NºAsuntos!G18/NºAsuntos!E18," - ")</f>
        <v>0.94209039548022599</v>
      </c>
      <c r="AM18" s="874">
        <f>IF(ISNUMBER(((NºAsuntos!I18/NºAsuntos!G18)*11)/factor_trimestre),((NºAsuntos!I18/NºAsuntos!G18)*11)/factor_trimestre," - ")</f>
        <v>3.8980509745127438</v>
      </c>
      <c r="AN18" s="875">
        <f>IF(ISNUMBER('Resol  Asuntos'!D18/NºAsuntos!G18),'Resol  Asuntos'!D18/NºAsuntos!G18," - ")</f>
        <v>0.1024487756121939</v>
      </c>
      <c r="AO18" s="876">
        <f>IF(ISNUMBER((NºAsuntos!C18+NºAsuntos!E18)/NºAsuntos!G18),(NºAsuntos!C18+NºAsuntos!E18)/NºAsuntos!G18," - ")</f>
        <v>2.2993503248375813</v>
      </c>
      <c r="AP18" s="877" t="str">
        <f t="shared" si="2"/>
        <v xml:space="preserve"> - </v>
      </c>
      <c r="AQ18" s="877">
        <f>IF(ISNUMBER((H18-W18+K18)/(F18)),(H18-W18+K18)/(F18)," - ")</f>
        <v>-0.84005037783375314</v>
      </c>
      <c r="AR18" s="878">
        <f>IF(ISNUMBER((Datos!P18-Datos!Q18)/(Datos!R18-Datos!P18+Datos!Q18)),(Datos!P18-Datos!Q18)/(Datos!R18-Datos!P18+Datos!Q18)," - ")</f>
        <v>-0.12844036697247707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2388</v>
      </c>
      <c r="G19" s="821">
        <f t="shared" si="13"/>
        <v>2483</v>
      </c>
      <c r="H19" s="820">
        <f t="shared" si="13"/>
        <v>0</v>
      </c>
      <c r="I19" s="822">
        <f t="shared" si="13"/>
        <v>0</v>
      </c>
      <c r="J19" s="822">
        <f t="shared" si="13"/>
        <v>0</v>
      </c>
      <c r="K19" s="881">
        <f t="shared" si="13"/>
        <v>0</v>
      </c>
      <c r="L19" s="822">
        <f t="shared" si="13"/>
        <v>238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2006</v>
      </c>
      <c r="X19" s="821">
        <f t="shared" si="14"/>
        <v>389</v>
      </c>
      <c r="Y19" s="828">
        <f t="shared" si="14"/>
        <v>2395</v>
      </c>
      <c r="Z19" s="828">
        <f t="shared" si="14"/>
        <v>0</v>
      </c>
      <c r="AA19" s="828">
        <f t="shared" si="14"/>
        <v>2604</v>
      </c>
      <c r="AB19" s="828">
        <f t="shared" si="14"/>
        <v>4121</v>
      </c>
      <c r="AC19" s="828">
        <f t="shared" si="14"/>
        <v>2699</v>
      </c>
      <c r="AD19" s="828">
        <f t="shared" si="14"/>
        <v>0</v>
      </c>
      <c r="AE19" s="830">
        <f t="shared" si="14"/>
        <v>0</v>
      </c>
      <c r="AF19" s="831">
        <f t="shared" si="14"/>
        <v>0</v>
      </c>
      <c r="AG19" s="832">
        <f t="shared" si="14"/>
        <v>0</v>
      </c>
      <c r="AH19" s="830">
        <f t="shared" si="14"/>
        <v>0</v>
      </c>
      <c r="AI19" s="820">
        <f t="shared" si="14"/>
        <v>590</v>
      </c>
      <c r="AJ19" s="820">
        <f t="shared" si="14"/>
        <v>0</v>
      </c>
      <c r="AK19" s="830">
        <f t="shared" si="14"/>
        <v>0</v>
      </c>
      <c r="AL19" s="884">
        <f>IF(ISNUMBER(NºAsuntos!G19/NºAsuntos!E19),NºAsuntos!G19/NºAsuntos!E19," - ")</f>
        <v>0.97651663405088063</v>
      </c>
      <c r="AM19" s="885">
        <f>IF(ISNUMBER(((NºAsuntos!I19/NºAsuntos!G19)*11)/factor_trimestre),((NºAsuntos!I19/NºAsuntos!G19)*11)/factor_trimestre," - ")</f>
        <v>7.2470655596908111</v>
      </c>
      <c r="AN19" s="885">
        <f>IF(ISNUMBER('Resol  Asuntos'!D19/NºAsuntos!G19),'Resol  Asuntos'!D19/NºAsuntos!G19," - ")</f>
        <v>0.16890924706555968</v>
      </c>
      <c r="AO19" s="886">
        <f>IF(ISNUMBER((NºAsuntos!C19+NºAsuntos!E19)/NºAsuntos!G19),(NºAsuntos!C19+NºAsuntos!E19)/NºAsuntos!G19," - ")</f>
        <v>3.4156885198969369</v>
      </c>
      <c r="AP19" s="887" t="str">
        <f t="shared" si="2"/>
        <v xml:space="preserve"> - </v>
      </c>
      <c r="AQ19" s="888">
        <f>IF(OR(ISNUMBER(FIND("01",Criterios!A8,1)),ISNUMBER(FIND("02",Criterios!A8,1)),ISNUMBER(FIND("03",Criterios!A8,1)),ISNUMBER(FIND("04",Criterios!A8,1))),(I19-W19+K19)/(F19-K19),(H19-W19+K19)/(F19-K19))</f>
        <v>-0.84003350083752093</v>
      </c>
      <c r="AR19" s="889">
        <f>IF(ISNUMBER((Datos!P19-Datos!Q19)/(Datos!R19-Datos!P19+Datos!Q19)),(Datos!P19-Datos!Q19)/(Datos!R19-Datos!P19+Datos!Q19)," - ")</f>
        <v>-3.5346441947565546E-2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993.2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1371.7842395945509</v>
      </c>
      <c r="G21" s="253">
        <f>IF(ISNUMBER(STDEV(G8:G18)),STDEV(G8:G18),"-")</f>
        <v>1312.089821620456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1018.5434698627251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165.7307052620807</v>
      </c>
      <c r="AJ21" s="252">
        <f t="shared" si="18"/>
        <v>0</v>
      </c>
      <c r="AK21" s="254">
        <f t="shared" si="18"/>
        <v>0</v>
      </c>
      <c r="AL21" s="249">
        <f t="shared" si="18"/>
        <v>0.28128288570648924</v>
      </c>
      <c r="AM21" s="250">
        <f t="shared" si="18"/>
        <v>4.6032153511916087</v>
      </c>
      <c r="AN21" s="250">
        <f t="shared" si="18"/>
        <v>0.26790473034979789</v>
      </c>
      <c r="AO21" s="251">
        <f t="shared" si="18"/>
        <v>1.5344051170638684</v>
      </c>
      <c r="AP21" s="291" t="str">
        <f t="shared" si="18"/>
        <v>-</v>
      </c>
      <c r="AQ21" s="292">
        <f t="shared" si="18"/>
        <v>4.7496677157786221E-3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rBskFsA4xYWUm3GQMZ+YsQdfpFUlMqXmgIfW9uZKa+afXAX6NIcT4pDfl55hgYyqrlERXGCV3sKbKU9XFuZkw==" saltValue="od27h6qe8uIzK7abFEg6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VELEZ-MALAGA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-0.4</v>
      </c>
      <c r="F10" s="348">
        <f>IF(ISNUMBER((Datos!K10-Datos!U10)/Datos!U10),(Datos!K10-Datos!U10)/Datos!U10," - ")</f>
        <v>0</v>
      </c>
      <c r="G10" s="349">
        <f>IF(ISNUMBER((Datos!L10-Datos!V10)/Datos!V10),(Datos!L10-Datos!V10)/Datos!V10," - ")</f>
        <v>-0.55555555555555558</v>
      </c>
      <c r="H10" s="230">
        <f>IF(ISNUMBER((Datos!M10-Datos!W10)/Datos!W10),(Datos!M10-Datos!W10)/Datos!W10," - ")</f>
        <v>-0.2</v>
      </c>
      <c r="I10" s="350">
        <f>IF(ISNUMBER((Tasas!C10-Datos!BE10)/Datos!BE10),(Tasas!C10-Datos!BE10)/Datos!BE10," - ")</f>
        <v>-0.55555555555555558</v>
      </c>
      <c r="J10" s="349">
        <f>IF(ISNUMBER((Tasas!D10-Datos!BF10)/Datos!BF10),(Tasas!D10-Datos!BF10)/Datos!BF10," - ")</f>
        <v>-0.19999999999999996</v>
      </c>
      <c r="K10" s="351">
        <f>IF(ISNUMBER((Tasas!E10-Datos!BG10)/Datos!BG10),(Tasas!E10-Datos!BG10)/Datos!BG10," - ")</f>
        <v>-0.3571428571428571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4.3835616438356165E-2</v>
      </c>
      <c r="I12" s="350">
        <f>IF(ISNUMBER((Tasas!C12-Datos!BE12)/Datos!BE12),(Tasas!C12-Datos!BE12)/Datos!BE12," - ")</f>
        <v>3.6934720956521491E-2</v>
      </c>
      <c r="J12" s="349">
        <f>IF(ISNUMBER((Tasas!D12-Datos!BF12)/Datos!BF12),(Tasas!D12-Datos!BF12)/Datos!BF12," - ")</f>
        <v>-0.14446895929102452</v>
      </c>
      <c r="K12" s="351">
        <f>IF(ISNUMBER((Tasas!E12-Datos!BG12)/Datos!BG12),(Tasas!E12-Datos!BG12)/Datos!BG12," - ")</f>
        <v>2.921359039635682E-2</v>
      </c>
      <c r="M12" t="e">
        <f>IF(Monitorios="SI",Datos!CE12,0)</f>
        <v>#REF!</v>
      </c>
      <c r="N12" t="e">
        <f>IF(Monitorios="SI",Datos!CF12,0)</f>
        <v>#REF!</v>
      </c>
      <c r="O12" t="e">
        <f>IF(Monitorios="SI",Datos!CG12,0)</f>
        <v>#REF!</v>
      </c>
      <c r="P12" t="e">
        <f>IF(Monitorios="SI",Datos!CH12,0)</f>
        <v>#REF!</v>
      </c>
      <c r="Q12">
        <f>IF(J_V="SI",0,Datos!AG12)</f>
        <v>89</v>
      </c>
      <c r="R12">
        <f>IF(J_V="SI",0,Datos!AH12)</f>
        <v>92</v>
      </c>
      <c r="S12">
        <f>IF(J_V="SI",0,Datos!AI12)</f>
        <v>101</v>
      </c>
      <c r="T12">
        <f>IF(J_V="SI",0,Datos!AJ12)</f>
        <v>80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4.0540540540540543E-2</v>
      </c>
      <c r="I13" s="357">
        <f>IF(ISNUMBER((Tasas!C13-Datos!BE13)/Datos!BE13),(Tasas!C13-Datos!BE13)/Datos!BE13," - ")</f>
        <v>3.6941930787890473E-2</v>
      </c>
      <c r="J13" s="355">
        <f>IF(ISNUMBER((Tasas!D13-Datos!BF13)/Datos!BF13),(Tasas!D13-Datos!BF13)/Datos!BF13," - ")</f>
        <v>-0.14854532816999311</v>
      </c>
      <c r="K13" s="358">
        <f>IF(ISNUMBER((Tasas!E13-Datos!BG13)/Datos!BG13),(Tasas!E13-Datos!BG13)/Datos!BG13," - ")</f>
        <v>2.9202920062765918E-2</v>
      </c>
      <c r="M13" t="e">
        <f>IF(Monitorios="SI",Datos!CE13,0)</f>
        <v>#REF!</v>
      </c>
      <c r="N13" t="e">
        <f>IF(Monitorios="SI",Datos!CF13,0)</f>
        <v>#REF!</v>
      </c>
      <c r="O13" t="e">
        <f>IF(Monitorios="SI",Datos!CG13,0)</f>
        <v>#REF!</v>
      </c>
      <c r="P13" t="e">
        <f>IF(Monitorios="SI",Datos!CH13,0)</f>
        <v>#REF!</v>
      </c>
      <c r="Q13">
        <f>IF(J_V="SI",0,Datos!AG13)</f>
        <v>89</v>
      </c>
      <c r="R13">
        <f>IF(J_V="SI",0,Datos!AH13)</f>
        <v>92</v>
      </c>
      <c r="S13">
        <f>IF(J_V="SI",0,Datos!AI13)</f>
        <v>101</v>
      </c>
      <c r="T13">
        <f>IF(J_V="SI",0,Datos!AJ13)</f>
        <v>80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6.339285714285714E-2</v>
      </c>
      <c r="E16" s="348">
        <f>IF(ISNUMBER(
   IF(D_I="SI",(Datos!J16-Datos!T16)/Datos!T16,(Datos!J16+Datos!AD16-(Datos!T16+Datos!AL16))/(Datos!T16+Datos!AL16))
     ),IF(D_I="SI",(Datos!J16-Datos!T16)/Datos!T16,(Datos!J16+Datos!AD16-(Datos!T16+Datos!AL16))/(Datos!T16+Datos!AL16))," - ")</f>
        <v>-8.2901554404145081E-2</v>
      </c>
      <c r="F16" s="348">
        <f>IF(ISNUMBER(
   IF(D_I="SI",(Datos!K16-Datos!U16)/Datos!U16,(Datos!K16+Datos!AE16-(Datos!U16+Datos!AM16))/(Datos!U16+Datos!AM16))
     ),IF(D_I="SI",(Datos!K16-Datos!U16)/Datos!U16,(Datos!K16+Datos!AE16-(Datos!U16+Datos!AM16))/(Datos!U16+Datos!AM16))," - ")</f>
        <v>0.26981919332406118</v>
      </c>
      <c r="G16" s="349">
        <f>IF(ISNUMBER(
   IF(D_I="SI",(Datos!L16-Datos!V16)/Datos!V16,(Datos!L16+Datos!AF16-(Datos!V16+Datos!AN16))/(Datos!V16+Datos!AN16))
     ),IF(D_I="SI",(Datos!L16-Datos!V16)/Datos!V16,(Datos!L16+Datos!AF16-(Datos!V16+Datos!AN16))/(Datos!V16+Datos!AN16))," - ")</f>
        <v>-0.14427350427350427</v>
      </c>
      <c r="H16" s="230">
        <f>IF(ISNUMBER((Datos!M16-Datos!W16)/Datos!W16),(Datos!M16-Datos!W16)/Datos!W16," - ")</f>
        <v>0.15822784810126583</v>
      </c>
      <c r="I16" s="350">
        <f>IF(ISNUMBER((Tasas!C16-Datos!BE16)/Datos!BE16),(Tasas!C16-Datos!BE16)/Datos!BE16," - ")</f>
        <v>-0.32610366875427121</v>
      </c>
      <c r="J16" s="349">
        <f>IF(ISNUMBER((Tasas!D16-Datos!BF16)/Datos!BF16),(Tasas!D16-Datos!BF16)/Datos!BF16," - ")</f>
        <v>-8.7879712174359137E-2</v>
      </c>
      <c r="K16" s="351">
        <f>IF(ISNUMBER((Tasas!E16-Datos!BG16)/Datos!BG16),(Tasas!E16-Datos!BG16)/Datos!BG16," - ")</f>
        <v>-0.21862324801885016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0.55737704918032782</v>
      </c>
      <c r="E17" s="348">
        <f>IF(ISNUMBER(
   IF(D_I="SI",(Datos!J17-Datos!T17)/Datos!T17,(Datos!J17+Datos!AD17-(Datos!T17+Datos!AL17))/(Datos!T17+Datos!AL17))
     ),IF(D_I="SI",(Datos!J17-Datos!T17)/Datos!T17,(Datos!J17+Datos!AD17-(Datos!T17+Datos!AL17))/(Datos!T17+Datos!AL17))," - ")</f>
        <v>0.73529411764705888</v>
      </c>
      <c r="F17" s="348">
        <f>IF(ISNUMBER(
   IF(D_I="SI",(Datos!K17-Datos!U17)/Datos!U17,(Datos!K17+Datos!AE17-(Datos!U17+Datos!AM17))/(Datos!U17+Datos!AM17))
     ),IF(D_I="SI",(Datos!K17-Datos!U17)/Datos!U17,(Datos!K17+Datos!AE17-(Datos!U17+Datos!AM17))/(Datos!U17+Datos!AM17))," - ")</f>
        <v>1.1084337349397591</v>
      </c>
      <c r="G17" s="349">
        <f>IF(ISNUMBER(
   IF(D_I="SI",(Datos!L17-Datos!V17)/Datos!V17,(Datos!L17+Datos!AF17-(Datos!V17+Datos!AN17))/(Datos!V17+Datos!AN17))
     ),IF(D_I="SI",(Datos!L17-Datos!V17)/Datos!V17,(Datos!L17+Datos!AF17-(Datos!V17+Datos!AN17))/(Datos!V17+Datos!AN17))," - ")</f>
        <v>0.21249999999999999</v>
      </c>
      <c r="H17" s="230">
        <f>IF(ISNUMBER((Datos!M17-Datos!W17)/Datos!W17),(Datos!M17-Datos!W17)/Datos!W17," - ")</f>
        <v>-0.33333333333333331</v>
      </c>
      <c r="I17" s="350">
        <f>IF(ISNUMBER((Tasas!C17-Datos!BE17)/Datos!BE17),(Tasas!C17-Datos!BE17)/Datos!BE17," - ")</f>
        <v>-0.42492857142857143</v>
      </c>
      <c r="J17" s="349">
        <f>IF(ISNUMBER((Tasas!D17-Datos!BF17)/Datos!BF17),(Tasas!D17-Datos!BF17)/Datos!BF17," - ")</f>
        <v>-0.68380952380952376</v>
      </c>
      <c r="K17" s="351">
        <f>IF(ISNUMBER((Tasas!E17-Datos!BG17)/Datos!BG17),(Tasas!E17-Datos!BG17)/Datos!BG17," - ")</f>
        <v>-0.20855390008764244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7.6488483268144281E-2</v>
      </c>
      <c r="E18" s="354">
        <f>IF(ISNUMBER(
   IF(D_I="SI",(Datos!J18-Datos!T18)/Datos!T18,(Datos!J18+Datos!AD18-(Datos!T18+Datos!AL18))/(Datos!T18+Datos!AL18))
     ),IF(D_I="SI",(Datos!J18-Datos!T18)/Datos!T18,(Datos!J18+Datos!AD18-(Datos!T18+Datos!AL18))/(Datos!T18+Datos!AL18))," - ")</f>
        <v>-4.5393258426966294E-2</v>
      </c>
      <c r="F18" s="354">
        <f>IF(ISNUMBER(
   IF(D_I="SI",(Datos!K18-Datos!U18)/Datos!U18,(Datos!K18+Datos!AE18-(Datos!U18+Datos!AM18))/(Datos!U18+Datos!AM18))
     ),IF(D_I="SI",(Datos!K18-Datos!U18)/Datos!U18,(Datos!K18+Datos!AE18-(Datos!U18+Datos!AM18))/(Datos!U18+Datos!AM18))," - ")</f>
        <v>0.31558185404339251</v>
      </c>
      <c r="G18" s="355">
        <f>IF(ISNUMBER(
   IF(D_I="SI",(Datos!L18-Datos!V18)/Datos!V18,(Datos!L18+Datos!AF18-(Datos!V18+Datos!AN18))/(Datos!V18+Datos!AN18))
     ),IF(D_I="SI",(Datos!L18-Datos!V18)/Datos!V18,(Datos!L18+Datos!AF18-(Datos!V18+Datos!AN18))/(Datos!V18+Datos!AN18))," - ")</f>
        <v>-0.13477537437603992</v>
      </c>
      <c r="H18" s="356">
        <f>IF(ISNUMBER((Datos!M18-Datos!W18)/Datos!W18),(Datos!M18-Datos!W18)/Datos!W18," - ")</f>
        <v>7.3298429319371722E-2</v>
      </c>
      <c r="I18" s="357">
        <f>IF(ISNUMBER((Tasas!C18-Datos!BE18)/Datos!BE18),(Tasas!C18-Datos!BE18)/Datos!BE18," - ")</f>
        <v>-0.34232550945824919</v>
      </c>
      <c r="J18" s="355">
        <f>IF(ISNUMBER((Tasas!D18-Datos!BF18)/Datos!BF18),(Tasas!D18-Datos!BF18)/Datos!BF18," - ")</f>
        <v>-0.18416446227148206</v>
      </c>
      <c r="K18" s="358">
        <f>IF(ISNUMBER((Tasas!E18-Datos!BG18)/Datos!BG18),(Tasas!E18-Datos!BG18)/Datos!BG18," - ")</f>
        <v>-0.22728417055281458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0.41473327688399664</v>
      </c>
      <c r="E19" s="363">
        <f>IF(ISNUMBER(
   IF(J_V="SI",(Datos!J19-Datos!T19)/Datos!T19,(Datos!J19+Datos!Z19-(Datos!T19+Datos!AH19))/(Datos!T19+Datos!AH19))
     ),IF(J_V="SI",(Datos!J19-Datos!T19)/Datos!T19,(Datos!J19+Datos!Z19-(Datos!T19+Datos!AH19))/(Datos!T19+Datos!AH19))," - ")</f>
        <v>8.4267959987875118E-2</v>
      </c>
      <c r="F19" s="363">
        <f>IF(ISNUMBER(
   IF(J_V="SI",(Datos!K19-Datos!U19)/Datos!U19,(Datos!K19+Datos!AA19-(Datos!U19+Datos!AI19))/(Datos!U19+Datos!AI19))
     ),IF(J_V="SI",(Datos!K19-Datos!U19)/Datos!U19,(Datos!K19+Datos!AA19-(Datos!U19+Datos!AI19))/(Datos!U19+Datos!AI19))," - ")</f>
        <v>0.39664134346261498</v>
      </c>
      <c r="G19" s="364">
        <f>IF(ISNUMBER(
   IF(J_V="SI",(Datos!L19-Datos!V19)/Datos!V19,(Datos!L19+Datos!AB19-(Datos!V19+Datos!AJ19))/(Datos!V19+Datos!AJ19))
     ),IF(J_V="SI",(Datos!L19-Datos!V19)/Datos!V19,(Datos!L19+Datos!AB19-(Datos!V19+Datos!AJ19))/(Datos!V19+Datos!AJ19))," - ")</f>
        <v>0.25883932567507084</v>
      </c>
      <c r="H19" s="365">
        <f>IF(ISNUMBER((Datos!M19-Datos!W19)/Datos!W19),(Datos!M19-Datos!W19)/Datos!W19," - ")</f>
        <v>5.1693404634581108E-2</v>
      </c>
      <c r="I19" s="362">
        <f>IF(ISNUMBER((Tasas!C19-Datos!BE19)/Datos!BE19),(Tasas!C19-Datos!BE19)/Datos!BE19," - ")</f>
        <v>-9.8666718146764212E-2</v>
      </c>
      <c r="J19" s="363">
        <f>IF(ISNUMBER((Tasas!D19-Datos!BF19)/Datos!BF19),(Tasas!D19-Datos!BF19)/Datos!BF19," - ")</f>
        <v>-0.13434010878900665</v>
      </c>
      <c r="K19" s="364">
        <f>IF(ISNUMBER((Tasas!E19-Datos!BG19)/Datos!BG19),(Tasas!E19-Datos!BG19)/Datos!BG19," - ")</f>
        <v>-7.1856042127092623E-2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0.36448093998195119</v>
      </c>
      <c r="E21" s="278">
        <f t="shared" si="1"/>
        <v>0.48265877423256148</v>
      </c>
      <c r="F21" s="278">
        <f t="shared" si="1"/>
        <v>0.47740638907943178</v>
      </c>
      <c r="G21" s="279">
        <f t="shared" si="1"/>
        <v>0.31412523464259107</v>
      </c>
      <c r="H21" s="285">
        <f t="shared" si="1"/>
        <v>0.18825809597139695</v>
      </c>
      <c r="I21" s="277">
        <f t="shared" si="1"/>
        <v>0.24576767887659726</v>
      </c>
      <c r="J21" s="278">
        <f t="shared" si="1"/>
        <v>0.22013728105085753</v>
      </c>
      <c r="K21" s="279">
        <f t="shared" si="1"/>
        <v>0.15542099295256581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VME2ButPi1ebcgcJrnq+5Ey3+4De6a+3gA7A2N1CEhBjOe27/XO0PJejHnBJDVafOHHXKi9MgHXJgnJBujrBg==" saltValue="xmajFmTmE3KYwx+cOwZT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